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成绩" sheetId="3" r:id="rId1"/>
  </sheets>
  <definedNames>
    <definedName name="_xlnm._FilterDatabase" localSheetId="0" hidden="1">成绩!$A$2:$H$2</definedName>
  </definedNames>
  <calcPr calcId="144525"/>
</workbook>
</file>

<file path=xl/sharedStrings.xml><?xml version="1.0" encoding="utf-8"?>
<sst xmlns="http://schemas.openxmlformats.org/spreadsheetml/2006/main" count="1236" uniqueCount="417">
  <si>
    <t>2020年度颍上县公开招聘编外幼儿园教师资格复审合格人员名单</t>
  </si>
  <si>
    <t>报考号</t>
  </si>
  <si>
    <t>职位代码</t>
  </si>
  <si>
    <t>姓名</t>
  </si>
  <si>
    <t>准考证号</t>
  </si>
  <si>
    <t>教育综合</t>
  </si>
  <si>
    <t>专业成绩</t>
  </si>
  <si>
    <t>笔试成绩</t>
  </si>
  <si>
    <t>是否有学前教育经历</t>
  </si>
  <si>
    <t>01-幼儿教师</t>
  </si>
  <si>
    <t>朱仁平</t>
  </si>
  <si>
    <t>无</t>
  </si>
  <si>
    <t>范簪簪</t>
  </si>
  <si>
    <t>有</t>
  </si>
  <si>
    <t>崔越越</t>
  </si>
  <si>
    <t>谢二妮</t>
  </si>
  <si>
    <t>高瑞</t>
  </si>
  <si>
    <t>刘怀敏</t>
  </si>
  <si>
    <t>刘言</t>
  </si>
  <si>
    <t>汪新娟</t>
  </si>
  <si>
    <t>孙瑞</t>
  </si>
  <si>
    <t>白相余</t>
  </si>
  <si>
    <t>范书悦</t>
  </si>
  <si>
    <t>江雨晴</t>
  </si>
  <si>
    <t>吴荣身</t>
  </si>
  <si>
    <t>牛西文</t>
  </si>
  <si>
    <t>蔡梦娜</t>
  </si>
  <si>
    <t>魏园园</t>
  </si>
  <si>
    <t>刘洁育</t>
  </si>
  <si>
    <t>王占云</t>
  </si>
  <si>
    <t>李守艳</t>
  </si>
  <si>
    <t>陈晓迪</t>
  </si>
  <si>
    <t>余纪叶</t>
  </si>
  <si>
    <t>牛佳惠</t>
  </si>
  <si>
    <t>赵婷婷</t>
  </si>
  <si>
    <t>李璐瑶</t>
  </si>
  <si>
    <t>卢晓宁</t>
  </si>
  <si>
    <t>孙莉</t>
  </si>
  <si>
    <t>郑冬梅</t>
  </si>
  <si>
    <t>江盼盼</t>
  </si>
  <si>
    <t>陈秀娟</t>
  </si>
  <si>
    <t>周亚楠</t>
  </si>
  <si>
    <t>钱楚钰</t>
  </si>
  <si>
    <t>徐小勤</t>
  </si>
  <si>
    <t>靳雪芹</t>
  </si>
  <si>
    <t>张洁</t>
  </si>
  <si>
    <t>徐保瑞</t>
  </si>
  <si>
    <t>王丹丹</t>
  </si>
  <si>
    <t>崔娅莉</t>
  </si>
  <si>
    <t>陈梦</t>
  </si>
  <si>
    <t>蒋雅婷</t>
  </si>
  <si>
    <t>李潮媛</t>
  </si>
  <si>
    <t>孙映雪</t>
  </si>
  <si>
    <t>程晓雪</t>
  </si>
  <si>
    <t>梁爽</t>
  </si>
  <si>
    <t>杨嫚</t>
  </si>
  <si>
    <t>徐邦志</t>
  </si>
  <si>
    <t>陶娜</t>
  </si>
  <si>
    <t>邓明利</t>
  </si>
  <si>
    <t>韩越男</t>
  </si>
  <si>
    <t>赵雨晴</t>
  </si>
  <si>
    <t>冯心怡</t>
  </si>
  <si>
    <t>王丹</t>
  </si>
  <si>
    <t>高锐</t>
  </si>
  <si>
    <t>曹新可</t>
  </si>
  <si>
    <t>谭竹君</t>
  </si>
  <si>
    <t>陈晓萌</t>
  </si>
  <si>
    <t>陈添君</t>
  </si>
  <si>
    <t>刘晓梅</t>
  </si>
  <si>
    <t>刘雪雯</t>
  </si>
  <si>
    <t>杨梦</t>
  </si>
  <si>
    <t>高婉婉</t>
  </si>
  <si>
    <t>韩璐</t>
  </si>
  <si>
    <t>钱利文</t>
  </si>
  <si>
    <t>张小停</t>
  </si>
  <si>
    <t>白慧</t>
  </si>
  <si>
    <t>潘梦雅</t>
  </si>
  <si>
    <t>姜莎</t>
  </si>
  <si>
    <t>李井井</t>
  </si>
  <si>
    <t>宋学勤</t>
  </si>
  <si>
    <t>李婷</t>
  </si>
  <si>
    <t>朱玉淇</t>
  </si>
  <si>
    <t>刘怡雯</t>
  </si>
  <si>
    <t>官春艳</t>
  </si>
  <si>
    <t>彭璐</t>
  </si>
  <si>
    <t>武俊俊</t>
  </si>
  <si>
    <t>王云</t>
  </si>
  <si>
    <t>许晓纯</t>
  </si>
  <si>
    <t>李兴业</t>
  </si>
  <si>
    <t>陈梦雪</t>
  </si>
  <si>
    <t>张容雪</t>
  </si>
  <si>
    <t>张书美</t>
  </si>
  <si>
    <t>林蝶蝶</t>
  </si>
  <si>
    <t>白雪莹</t>
  </si>
  <si>
    <t>夏晓宁</t>
  </si>
  <si>
    <t>郑守利</t>
  </si>
  <si>
    <t>陈梅</t>
  </si>
  <si>
    <t>李先颍</t>
  </si>
  <si>
    <t>张艺璇</t>
  </si>
  <si>
    <t>潘雪梅</t>
  </si>
  <si>
    <t>焦文畅</t>
  </si>
  <si>
    <t>林青</t>
  </si>
  <si>
    <t>白宇辰</t>
  </si>
  <si>
    <t>陈利芹</t>
  </si>
  <si>
    <t>董慧慧</t>
  </si>
  <si>
    <t>万荣</t>
  </si>
  <si>
    <t>白群</t>
  </si>
  <si>
    <t>杨珍</t>
  </si>
  <si>
    <t>郎永梅</t>
  </si>
  <si>
    <t>刘硕</t>
  </si>
  <si>
    <t>胡鑫鑫</t>
  </si>
  <si>
    <t>方露露</t>
  </si>
  <si>
    <t>杨万梅</t>
  </si>
  <si>
    <t>吴鼐</t>
  </si>
  <si>
    <t>梁文文</t>
  </si>
  <si>
    <t>张永娟</t>
  </si>
  <si>
    <t>陈娟娟</t>
  </si>
  <si>
    <t>代柳柳</t>
  </si>
  <si>
    <t>程超</t>
  </si>
  <si>
    <t>王婷</t>
  </si>
  <si>
    <t>朱琰</t>
  </si>
  <si>
    <t>徐冰燕</t>
  </si>
  <si>
    <t>邹敏敏</t>
  </si>
  <si>
    <t>朱国利</t>
  </si>
  <si>
    <t>王贵平</t>
  </si>
  <si>
    <t>王琪</t>
  </si>
  <si>
    <t>王玉丹</t>
  </si>
  <si>
    <t>马维维</t>
  </si>
  <si>
    <t>韩贵</t>
  </si>
  <si>
    <t>徐多婷</t>
  </si>
  <si>
    <t>李思雅</t>
  </si>
  <si>
    <t>陈笑笑</t>
  </si>
  <si>
    <t>张可茜</t>
  </si>
  <si>
    <t>于瑞阳</t>
  </si>
  <si>
    <t>彭雪晴</t>
  </si>
  <si>
    <t>张娜娜</t>
  </si>
  <si>
    <t>罗秀秀</t>
  </si>
  <si>
    <t>张君</t>
  </si>
  <si>
    <t>江利敏</t>
  </si>
  <si>
    <t>王迪</t>
  </si>
  <si>
    <t>朱丽娟</t>
  </si>
  <si>
    <t>武亚凤</t>
  </si>
  <si>
    <t>吴琼</t>
  </si>
  <si>
    <t>冷琼</t>
  </si>
  <si>
    <t>苏艳</t>
  </si>
  <si>
    <t>杨玉</t>
  </si>
  <si>
    <t>孙悦</t>
  </si>
  <si>
    <t>张楚</t>
  </si>
  <si>
    <t>江晴晴</t>
  </si>
  <si>
    <t>胡圆圆</t>
  </si>
  <si>
    <t>孙荣荣</t>
  </si>
  <si>
    <t>冯雅雅</t>
  </si>
  <si>
    <t>王楠</t>
  </si>
  <si>
    <t>蒋洋洋</t>
  </si>
  <si>
    <t>孙妮妮</t>
  </si>
  <si>
    <t>韩呤</t>
  </si>
  <si>
    <t>杨甲甲</t>
  </si>
  <si>
    <t>杨培月</t>
  </si>
  <si>
    <t>李娜</t>
  </si>
  <si>
    <t>高路路</t>
  </si>
  <si>
    <t>李泯锐</t>
  </si>
  <si>
    <t>邵梦梦</t>
  </si>
  <si>
    <t>魏宇坤</t>
  </si>
  <si>
    <t>余露露</t>
  </si>
  <si>
    <t>余晴晴</t>
  </si>
  <si>
    <t>郑云凤</t>
  </si>
  <si>
    <t>许雅雪</t>
  </si>
  <si>
    <t>王莹</t>
  </si>
  <si>
    <t>郑雨露</t>
  </si>
  <si>
    <t>侯颖萍</t>
  </si>
  <si>
    <t>聂婷婷</t>
  </si>
  <si>
    <t>蔡蕊</t>
  </si>
  <si>
    <t>刘兰兰</t>
  </si>
  <si>
    <t>张宗娟</t>
  </si>
  <si>
    <t>陈钱形</t>
  </si>
  <si>
    <t>程潇潇</t>
  </si>
  <si>
    <t>罗贝贝</t>
  </si>
  <si>
    <t>杨文芸</t>
  </si>
  <si>
    <t>汪丹丹</t>
  </si>
  <si>
    <t>陈浔</t>
  </si>
  <si>
    <t>姚蕾</t>
  </si>
  <si>
    <t>刘寅</t>
  </si>
  <si>
    <t>陈静静</t>
  </si>
  <si>
    <t>马姝琪</t>
  </si>
  <si>
    <t>唐蕊</t>
  </si>
  <si>
    <t>彭曼利</t>
  </si>
  <si>
    <t>王韦洁</t>
  </si>
  <si>
    <t>丁莉</t>
  </si>
  <si>
    <t>路玲玲</t>
  </si>
  <si>
    <t>胡冰清</t>
  </si>
  <si>
    <t>武萧</t>
  </si>
  <si>
    <t>莫利</t>
  </si>
  <si>
    <t>姚娟娟</t>
  </si>
  <si>
    <t>王梦</t>
  </si>
  <si>
    <t>乔娜娜</t>
  </si>
  <si>
    <t>储亚洁</t>
  </si>
  <si>
    <t>江如盼</t>
  </si>
  <si>
    <t>刘慧</t>
  </si>
  <si>
    <t>高晴</t>
  </si>
  <si>
    <t>张夏青</t>
  </si>
  <si>
    <t>吴情</t>
  </si>
  <si>
    <t>沈明侠</t>
  </si>
  <si>
    <t>梅燕妮</t>
  </si>
  <si>
    <t>李娟</t>
  </si>
  <si>
    <t>王彦儒</t>
  </si>
  <si>
    <t>吴其平</t>
  </si>
  <si>
    <t>赵颍</t>
  </si>
  <si>
    <t>张明雪</t>
  </si>
  <si>
    <t>马田田</t>
  </si>
  <si>
    <t>吴其勤</t>
  </si>
  <si>
    <t>王宁</t>
  </si>
  <si>
    <t>郭艳昀</t>
  </si>
  <si>
    <t>时倩倩</t>
  </si>
  <si>
    <t>江倩</t>
  </si>
  <si>
    <t>谢鑫璐</t>
  </si>
  <si>
    <t>郭行锦</t>
  </si>
  <si>
    <t>马思伟</t>
  </si>
  <si>
    <t>王雪梅</t>
  </si>
  <si>
    <t>刘星</t>
  </si>
  <si>
    <t>程盼盼</t>
  </si>
  <si>
    <t>郭华华</t>
  </si>
  <si>
    <t>陈梦梦</t>
  </si>
  <si>
    <t>莫茜</t>
  </si>
  <si>
    <t>吴敬贤</t>
  </si>
  <si>
    <t>孙益倩</t>
  </si>
  <si>
    <t>陈雪</t>
  </si>
  <si>
    <t>崔菊</t>
  </si>
  <si>
    <t>马彩梦</t>
  </si>
  <si>
    <t>奚静</t>
  </si>
  <si>
    <t>范越越</t>
  </si>
  <si>
    <t>李南</t>
  </si>
  <si>
    <t>王婷婷</t>
  </si>
  <si>
    <t>霍殿芳</t>
  </si>
  <si>
    <t>何丽娟</t>
  </si>
  <si>
    <t>周双</t>
  </si>
  <si>
    <t>李培培</t>
  </si>
  <si>
    <t>何术术</t>
  </si>
  <si>
    <t>吴祥雪</t>
  </si>
  <si>
    <t>王曼</t>
  </si>
  <si>
    <t>王化勤</t>
  </si>
  <si>
    <t>裴云云</t>
  </si>
  <si>
    <t>顾琴琴</t>
  </si>
  <si>
    <t>余孝玲</t>
  </si>
  <si>
    <t>何园园</t>
  </si>
  <si>
    <t>明梦婷</t>
  </si>
  <si>
    <t>刘雪联</t>
  </si>
  <si>
    <t>李冬雪</t>
  </si>
  <si>
    <t>蔡梦</t>
  </si>
  <si>
    <t>张璇</t>
  </si>
  <si>
    <t>郭悦</t>
  </si>
  <si>
    <t>张倩倩</t>
  </si>
  <si>
    <t>张华</t>
  </si>
  <si>
    <t>周娜</t>
  </si>
  <si>
    <t>郑倩倩</t>
  </si>
  <si>
    <t>张楠楠</t>
  </si>
  <si>
    <t>姜婉莹</t>
  </si>
  <si>
    <t>郑玉凤</t>
  </si>
  <si>
    <t>陈莹莹</t>
  </si>
  <si>
    <t>郭孟奇</t>
  </si>
  <si>
    <t>黄喜讯</t>
  </si>
  <si>
    <t>周孝利</t>
  </si>
  <si>
    <t>赵梦婷</t>
  </si>
  <si>
    <t>郑雯月</t>
  </si>
  <si>
    <t>刘盈盈</t>
  </si>
  <si>
    <t>刘丹</t>
  </si>
  <si>
    <t>汝桂影</t>
  </si>
  <si>
    <t>彭莹莹</t>
  </si>
  <si>
    <t>莫宁</t>
  </si>
  <si>
    <t>王晨晨</t>
  </si>
  <si>
    <t>高立新</t>
  </si>
  <si>
    <t>田娜</t>
  </si>
  <si>
    <t>彭程程</t>
  </si>
  <si>
    <t>王倩倩</t>
  </si>
  <si>
    <t>金慧修</t>
  </si>
  <si>
    <t>刘国云</t>
  </si>
  <si>
    <t>童树影</t>
  </si>
  <si>
    <t>闫金金</t>
  </si>
  <si>
    <t>赵丹维</t>
  </si>
  <si>
    <t>徐静</t>
  </si>
  <si>
    <t>盛男</t>
  </si>
  <si>
    <t>汪海燕</t>
  </si>
  <si>
    <t>李娇</t>
  </si>
  <si>
    <t>王冬菊</t>
  </si>
  <si>
    <t>马如</t>
  </si>
  <si>
    <t>贺文文</t>
  </si>
  <si>
    <t>白云</t>
  </si>
  <si>
    <t>高悦娇</t>
  </si>
  <si>
    <t>江楠</t>
  </si>
  <si>
    <t>刘娜</t>
  </si>
  <si>
    <t>金宇</t>
  </si>
  <si>
    <t>刘孝单</t>
  </si>
  <si>
    <t>张燕</t>
  </si>
  <si>
    <t>陈克克</t>
  </si>
  <si>
    <t>梁煜</t>
  </si>
  <si>
    <t>李欣欣</t>
  </si>
  <si>
    <t>韩娟燕</t>
  </si>
  <si>
    <t>高晨晨</t>
  </si>
  <si>
    <t>赵晴</t>
  </si>
  <si>
    <t>范芹</t>
  </si>
  <si>
    <t>刘炬</t>
  </si>
  <si>
    <t>缪文静</t>
  </si>
  <si>
    <t>王法月</t>
  </si>
  <si>
    <t>刘艳</t>
  </si>
  <si>
    <t>刘媛媛</t>
  </si>
  <si>
    <t>叶文曦</t>
  </si>
  <si>
    <t>李静雪</t>
  </si>
  <si>
    <t>黄妮</t>
  </si>
  <si>
    <t>黄茜茜</t>
  </si>
  <si>
    <t>张永红</t>
  </si>
  <si>
    <t>靳淑华</t>
  </si>
  <si>
    <t>胡梦林</t>
  </si>
  <si>
    <t>范婷婷</t>
  </si>
  <si>
    <t>郑梦雪</t>
  </si>
  <si>
    <t>郑晓姣</t>
  </si>
  <si>
    <t>赵娴</t>
  </si>
  <si>
    <t>魏雪丽</t>
  </si>
  <si>
    <t>李艳</t>
  </si>
  <si>
    <t>苏倩倩</t>
  </si>
  <si>
    <t>房孟云</t>
  </si>
  <si>
    <t>马娇笛</t>
  </si>
  <si>
    <t>余雪婷</t>
  </si>
  <si>
    <t>王蕾</t>
  </si>
  <si>
    <t>李丹</t>
  </si>
  <si>
    <t>周卫卫</t>
  </si>
  <si>
    <t>李默菊</t>
  </si>
  <si>
    <t>刘冰雪</t>
  </si>
  <si>
    <t>朱文雅</t>
  </si>
  <si>
    <t>康兴</t>
  </si>
  <si>
    <t>李成双</t>
  </si>
  <si>
    <t>桑华雪</t>
  </si>
  <si>
    <t>路雪梅</t>
  </si>
  <si>
    <t>郭小燕</t>
  </si>
  <si>
    <t>王雷</t>
  </si>
  <si>
    <t>王友姣</t>
  </si>
  <si>
    <t>江盈盈</t>
  </si>
  <si>
    <t>黄幸</t>
  </si>
  <si>
    <t>靖靖</t>
  </si>
  <si>
    <t>王磊</t>
  </si>
  <si>
    <t>徐利雯</t>
  </si>
  <si>
    <t>李蕾</t>
  </si>
  <si>
    <t>刘长丽</t>
  </si>
  <si>
    <t>姚彦玲</t>
  </si>
  <si>
    <t>郭静怡</t>
  </si>
  <si>
    <t>李俊蕾</t>
  </si>
  <si>
    <t>蔡迎廷</t>
  </si>
  <si>
    <t>王慧</t>
  </si>
  <si>
    <t>王莉娟</t>
  </si>
  <si>
    <t>李家越</t>
  </si>
  <si>
    <t>王应</t>
  </si>
  <si>
    <t>刘凤艳</t>
  </si>
  <si>
    <t>彭东梅</t>
  </si>
  <si>
    <t>胡米雪</t>
  </si>
  <si>
    <t>黄雪梅</t>
  </si>
  <si>
    <t>刘金鑫</t>
  </si>
  <si>
    <t>陈静</t>
  </si>
  <si>
    <t>程永梅</t>
  </si>
  <si>
    <t>李文华</t>
  </si>
  <si>
    <t>绳东梅</t>
  </si>
  <si>
    <t>张漫</t>
  </si>
  <si>
    <t>胡雪婷</t>
  </si>
  <si>
    <t>王雅洁</t>
  </si>
  <si>
    <t>蔡魏</t>
  </si>
  <si>
    <t>卢明悦</t>
  </si>
  <si>
    <t>康宁</t>
  </si>
  <si>
    <t>李珍玮</t>
  </si>
  <si>
    <t>杨娅敏</t>
  </si>
  <si>
    <t>赵莲莲</t>
  </si>
  <si>
    <t>刘慧子</t>
  </si>
  <si>
    <t>刘星宇</t>
  </si>
  <si>
    <t>闫翠</t>
  </si>
  <si>
    <t>王菊</t>
  </si>
  <si>
    <t>吴彤</t>
  </si>
  <si>
    <t>魏洁</t>
  </si>
  <si>
    <t>徐荣</t>
  </si>
  <si>
    <t>陈家静</t>
  </si>
  <si>
    <t>李凡</t>
  </si>
  <si>
    <t>刘培培</t>
  </si>
  <si>
    <t>王娟</t>
  </si>
  <si>
    <t>江园园</t>
  </si>
  <si>
    <t>刘玉言</t>
  </si>
  <si>
    <t>宁晨晨</t>
  </si>
  <si>
    <t>刘静怡</t>
  </si>
  <si>
    <t>白海鹏</t>
  </si>
  <si>
    <t>石倩</t>
  </si>
  <si>
    <t>高建军</t>
  </si>
  <si>
    <t>徐苗苗</t>
  </si>
  <si>
    <t>张俊杰</t>
  </si>
  <si>
    <t>蔡婷</t>
  </si>
  <si>
    <t>郭露露</t>
  </si>
  <si>
    <t>范苏颍</t>
  </si>
  <si>
    <t>叶红</t>
  </si>
  <si>
    <t>刘聪林</t>
  </si>
  <si>
    <t>彭裴裴</t>
  </si>
  <si>
    <t>王旖旎</t>
  </si>
  <si>
    <t>徐鑫茹</t>
  </si>
  <si>
    <t>祁珊珊</t>
  </si>
  <si>
    <t>张梅</t>
  </si>
  <si>
    <t>陈园园</t>
  </si>
  <si>
    <t>柳迪</t>
  </si>
  <si>
    <t>杨楠楠</t>
  </si>
  <si>
    <t>赵莹莹</t>
  </si>
  <si>
    <t>刘春晓</t>
  </si>
  <si>
    <t>张亚春</t>
  </si>
  <si>
    <t>陈子韩</t>
  </si>
  <si>
    <t>王晨</t>
  </si>
  <si>
    <t>程梅</t>
  </si>
  <si>
    <t>刘灿灿</t>
  </si>
  <si>
    <t>孔祥雪</t>
  </si>
  <si>
    <t>唐莹莹</t>
  </si>
  <si>
    <t>凌莹</t>
  </si>
  <si>
    <t>尹池</t>
  </si>
  <si>
    <t>张丹丹</t>
  </si>
  <si>
    <t>陈琼琼</t>
  </si>
  <si>
    <t>李瑞</t>
  </si>
  <si>
    <t>李永燕</t>
  </si>
  <si>
    <t>吴娟</t>
  </si>
  <si>
    <t>张盼盼</t>
  </si>
</sst>
</file>

<file path=xl/styles.xml><?xml version="1.0" encoding="utf-8"?>
<styleSheet xmlns="http://schemas.openxmlformats.org/spreadsheetml/2006/main">
  <numFmts count="5">
    <numFmt numFmtId="176" formatCode="0.00;[Red]0.0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7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0" borderId="5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21" fillId="19" borderId="9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4" fillId="0" borderId="0"/>
  </cellStyleXfs>
  <cellXfs count="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2" xfId="49" applyNumberFormat="1" applyFont="1" applyFill="1" applyBorder="1" applyAlignment="1">
      <alignment horizontal="center" vertical="center"/>
    </xf>
    <xf numFmtId="176" fontId="4" fillId="0" borderId="2" xfId="49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1"/>
  <sheetViews>
    <sheetView tabSelected="1" topLeftCell="B1" workbookViewId="0">
      <selection activeCell="J409" sqref="J409"/>
    </sheetView>
  </sheetViews>
  <sheetFormatPr defaultColWidth="9" defaultRowHeight="15" customHeight="1" outlineLevelCol="7"/>
  <cols>
    <col min="1" max="1" width="21.875" style="1" hidden="1" customWidth="1"/>
    <col min="2" max="2" width="13.5" style="1" customWidth="1"/>
    <col min="3" max="3" width="10.5" style="1" customWidth="1"/>
    <col min="4" max="4" width="14.375" style="1" customWidth="1"/>
    <col min="5" max="7" width="8" style="2" customWidth="1"/>
    <col min="8" max="8" width="17.25" style="2" customWidth="1"/>
    <col min="9" max="16384" width="9" style="3"/>
  </cols>
  <sheetData>
    <row r="1" ht="36.75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customHeight="1" spans="1:8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customHeight="1" spans="1:8">
      <c r="A3" s="5" t="str">
        <f>"2578202008201336241053"</f>
        <v>2578202008201336241053</v>
      </c>
      <c r="B3" s="5" t="s">
        <v>9</v>
      </c>
      <c r="C3" s="5" t="s">
        <v>10</v>
      </c>
      <c r="D3" s="5" t="str">
        <f>"236000011117"</f>
        <v>236000011117</v>
      </c>
      <c r="E3" s="7">
        <v>76</v>
      </c>
      <c r="F3" s="7">
        <v>83.5</v>
      </c>
      <c r="G3" s="7">
        <f t="shared" ref="G3:G26" si="0">E3*1.2*0.4+F3*1.2*0.6</f>
        <v>96.6</v>
      </c>
      <c r="H3" s="6" t="s">
        <v>11</v>
      </c>
    </row>
    <row r="4" customHeight="1" spans="1:8">
      <c r="A4" s="5" t="str">
        <f>"257820200819101642289"</f>
        <v>257820200819101642289</v>
      </c>
      <c r="B4" s="5" t="s">
        <v>9</v>
      </c>
      <c r="C4" s="5" t="s">
        <v>12</v>
      </c>
      <c r="D4" s="5" t="str">
        <f>"236000010207"</f>
        <v>236000010207</v>
      </c>
      <c r="E4" s="7">
        <v>81</v>
      </c>
      <c r="F4" s="7">
        <v>79.5</v>
      </c>
      <c r="G4" s="7">
        <f t="shared" si="0"/>
        <v>96.12</v>
      </c>
      <c r="H4" s="6" t="s">
        <v>13</v>
      </c>
    </row>
    <row r="5" customHeight="1" spans="1:8">
      <c r="A5" s="5" t="str">
        <f>"2578202008201508561080"</f>
        <v>2578202008201508561080</v>
      </c>
      <c r="B5" s="5" t="s">
        <v>9</v>
      </c>
      <c r="C5" s="5" t="s">
        <v>14</v>
      </c>
      <c r="D5" s="5" t="str">
        <f>"236000010810"</f>
        <v>236000010810</v>
      </c>
      <c r="E5" s="7">
        <v>75.5</v>
      </c>
      <c r="F5" s="7">
        <v>81</v>
      </c>
      <c r="G5" s="7">
        <f t="shared" si="0"/>
        <v>94.56</v>
      </c>
      <c r="H5" s="6" t="s">
        <v>11</v>
      </c>
    </row>
    <row r="6" customHeight="1" spans="1:8">
      <c r="A6" s="5" t="str">
        <f>"257820200819104345350"</f>
        <v>257820200819104345350</v>
      </c>
      <c r="B6" s="5" t="s">
        <v>9</v>
      </c>
      <c r="C6" s="5" t="s">
        <v>15</v>
      </c>
      <c r="D6" s="5" t="str">
        <f>"236000011916"</f>
        <v>236000011916</v>
      </c>
      <c r="E6" s="7">
        <v>75</v>
      </c>
      <c r="F6" s="7">
        <v>76</v>
      </c>
      <c r="G6" s="7">
        <f t="shared" si="0"/>
        <v>90.72</v>
      </c>
      <c r="H6" s="6" t="s">
        <v>11</v>
      </c>
    </row>
    <row r="7" customHeight="1" spans="1:8">
      <c r="A7" s="5" t="str">
        <f>"257820200819193325758"</f>
        <v>257820200819193325758</v>
      </c>
      <c r="B7" s="5" t="s">
        <v>9</v>
      </c>
      <c r="C7" s="5" t="s">
        <v>16</v>
      </c>
      <c r="D7" s="5" t="str">
        <f>"236000012102"</f>
        <v>236000012102</v>
      </c>
      <c r="E7" s="7">
        <v>73.5</v>
      </c>
      <c r="F7" s="7">
        <v>76.5</v>
      </c>
      <c r="G7" s="7">
        <f t="shared" si="0"/>
        <v>90.36</v>
      </c>
      <c r="H7" s="6" t="s">
        <v>13</v>
      </c>
    </row>
    <row r="8" customHeight="1" spans="1:8">
      <c r="A8" s="5" t="str">
        <f>"257820200819105307374"</f>
        <v>257820200819105307374</v>
      </c>
      <c r="B8" s="5" t="s">
        <v>9</v>
      </c>
      <c r="C8" s="5" t="s">
        <v>17</v>
      </c>
      <c r="D8" s="5" t="str">
        <f>"236000010804"</f>
        <v>236000010804</v>
      </c>
      <c r="E8" s="7">
        <v>70.5</v>
      </c>
      <c r="F8" s="7">
        <v>77</v>
      </c>
      <c r="G8" s="7">
        <f t="shared" si="0"/>
        <v>89.28</v>
      </c>
      <c r="H8" s="6" t="s">
        <v>13</v>
      </c>
    </row>
    <row r="9" customHeight="1" spans="1:8">
      <c r="A9" s="5" t="str">
        <f>"2578202008202206151234"</f>
        <v>2578202008202206151234</v>
      </c>
      <c r="B9" s="5" t="s">
        <v>9</v>
      </c>
      <c r="C9" s="5" t="s">
        <v>18</v>
      </c>
      <c r="D9" s="5" t="str">
        <f>"236000010101"</f>
        <v>236000010101</v>
      </c>
      <c r="E9" s="7">
        <v>75.5</v>
      </c>
      <c r="F9" s="7">
        <v>73.5</v>
      </c>
      <c r="G9" s="7">
        <f t="shared" si="0"/>
        <v>89.16</v>
      </c>
      <c r="H9" s="6" t="s">
        <v>13</v>
      </c>
    </row>
    <row r="10" customHeight="1" spans="1:8">
      <c r="A10" s="5" t="str">
        <f>"257820200819120918473"</f>
        <v>257820200819120918473</v>
      </c>
      <c r="B10" s="5" t="s">
        <v>9</v>
      </c>
      <c r="C10" s="5" t="s">
        <v>19</v>
      </c>
      <c r="D10" s="5" t="str">
        <f>"236000010603"</f>
        <v>236000010603</v>
      </c>
      <c r="E10" s="7">
        <v>76</v>
      </c>
      <c r="F10" s="7">
        <v>72</v>
      </c>
      <c r="G10" s="7">
        <f t="shared" si="0"/>
        <v>88.32</v>
      </c>
      <c r="H10" s="6" t="s">
        <v>13</v>
      </c>
    </row>
    <row r="11" customHeight="1" spans="1:8">
      <c r="A11" s="5" t="str">
        <f>"257820200819092301132"</f>
        <v>257820200819092301132</v>
      </c>
      <c r="B11" s="5" t="s">
        <v>9</v>
      </c>
      <c r="C11" s="5" t="s">
        <v>20</v>
      </c>
      <c r="D11" s="5" t="str">
        <f>"236000010721"</f>
        <v>236000010721</v>
      </c>
      <c r="E11" s="7">
        <v>74.5</v>
      </c>
      <c r="F11" s="7">
        <v>73</v>
      </c>
      <c r="G11" s="7">
        <f t="shared" si="0"/>
        <v>88.32</v>
      </c>
      <c r="H11" s="6" t="s">
        <v>13</v>
      </c>
    </row>
    <row r="12" customHeight="1" spans="1:8">
      <c r="A12" s="5" t="str">
        <f>"257820200819113756438"</f>
        <v>257820200819113756438</v>
      </c>
      <c r="B12" s="5" t="s">
        <v>9</v>
      </c>
      <c r="C12" s="5" t="s">
        <v>21</v>
      </c>
      <c r="D12" s="5" t="str">
        <f>"236000011710"</f>
        <v>236000011710</v>
      </c>
      <c r="E12" s="7">
        <v>69.5</v>
      </c>
      <c r="F12" s="7">
        <v>76</v>
      </c>
      <c r="G12" s="7">
        <f t="shared" si="0"/>
        <v>88.08</v>
      </c>
      <c r="H12" s="6" t="s">
        <v>11</v>
      </c>
    </row>
    <row r="13" customHeight="1" spans="1:8">
      <c r="A13" s="5" t="str">
        <f>"2578202008202146391228"</f>
        <v>2578202008202146391228</v>
      </c>
      <c r="B13" s="5" t="s">
        <v>9</v>
      </c>
      <c r="C13" s="5" t="s">
        <v>22</v>
      </c>
      <c r="D13" s="5" t="str">
        <f>"236000012418"</f>
        <v>236000012418</v>
      </c>
      <c r="E13" s="7">
        <v>70</v>
      </c>
      <c r="F13" s="7">
        <v>75.5</v>
      </c>
      <c r="G13" s="7">
        <f t="shared" si="0"/>
        <v>87.96</v>
      </c>
      <c r="H13" s="6" t="s">
        <v>13</v>
      </c>
    </row>
    <row r="14" customHeight="1" spans="1:8">
      <c r="A14" s="5" t="str">
        <f>"257820200819183315716"</f>
        <v>257820200819183315716</v>
      </c>
      <c r="B14" s="5" t="s">
        <v>9</v>
      </c>
      <c r="C14" s="5" t="s">
        <v>23</v>
      </c>
      <c r="D14" s="5" t="str">
        <f>"236000012117"</f>
        <v>236000012117</v>
      </c>
      <c r="E14" s="7">
        <v>73.5</v>
      </c>
      <c r="F14" s="7">
        <v>73</v>
      </c>
      <c r="G14" s="7">
        <f t="shared" si="0"/>
        <v>87.84</v>
      </c>
      <c r="H14" s="6" t="s">
        <v>13</v>
      </c>
    </row>
    <row r="15" customHeight="1" spans="1:8">
      <c r="A15" s="5" t="str">
        <f>"257820200819151308609"</f>
        <v>257820200819151308609</v>
      </c>
      <c r="B15" s="5" t="s">
        <v>9</v>
      </c>
      <c r="C15" s="5" t="s">
        <v>24</v>
      </c>
      <c r="D15" s="5" t="str">
        <f>"236000011906"</f>
        <v>236000011906</v>
      </c>
      <c r="E15" s="7">
        <v>66</v>
      </c>
      <c r="F15" s="7">
        <v>77.5</v>
      </c>
      <c r="G15" s="7">
        <f t="shared" si="0"/>
        <v>87.48</v>
      </c>
      <c r="H15" s="6" t="s">
        <v>13</v>
      </c>
    </row>
    <row r="16" customHeight="1" spans="1:8">
      <c r="A16" s="5" t="str">
        <f>"2578202008202130111220"</f>
        <v>2578202008202130111220</v>
      </c>
      <c r="B16" s="5" t="s">
        <v>9</v>
      </c>
      <c r="C16" s="5" t="s">
        <v>25</v>
      </c>
      <c r="D16" s="5" t="str">
        <f>"236000010805"</f>
        <v>236000010805</v>
      </c>
      <c r="E16" s="7">
        <v>74</v>
      </c>
      <c r="F16" s="7">
        <v>72</v>
      </c>
      <c r="G16" s="7">
        <f t="shared" si="0"/>
        <v>87.36</v>
      </c>
      <c r="H16" s="6" t="s">
        <v>11</v>
      </c>
    </row>
    <row r="17" customHeight="1" spans="1:8">
      <c r="A17" s="5" t="str">
        <f>"257820200819163955662"</f>
        <v>257820200819163955662</v>
      </c>
      <c r="B17" s="5" t="s">
        <v>9</v>
      </c>
      <c r="C17" s="5" t="s">
        <v>26</v>
      </c>
      <c r="D17" s="5" t="str">
        <f>"236000011524"</f>
        <v>236000011524</v>
      </c>
      <c r="E17" s="7">
        <v>63.5</v>
      </c>
      <c r="F17" s="7">
        <v>79</v>
      </c>
      <c r="G17" s="7">
        <f t="shared" si="0"/>
        <v>87.36</v>
      </c>
      <c r="H17" s="6" t="s">
        <v>11</v>
      </c>
    </row>
    <row r="18" customHeight="1" spans="1:8">
      <c r="A18" s="5" t="str">
        <f>"257820200819210100809"</f>
        <v>257820200819210100809</v>
      </c>
      <c r="B18" s="5" t="s">
        <v>9</v>
      </c>
      <c r="C18" s="5" t="s">
        <v>27</v>
      </c>
      <c r="D18" s="5" t="str">
        <f>"236000010529"</f>
        <v>236000010529</v>
      </c>
      <c r="E18" s="7">
        <v>66</v>
      </c>
      <c r="F18" s="7">
        <v>76.5</v>
      </c>
      <c r="G18" s="7">
        <f t="shared" si="0"/>
        <v>86.76</v>
      </c>
      <c r="H18" s="6" t="s">
        <v>13</v>
      </c>
    </row>
    <row r="19" customHeight="1" spans="1:8">
      <c r="A19" s="5" t="str">
        <f>"257820200819170457678"</f>
        <v>257820200819170457678</v>
      </c>
      <c r="B19" s="5" t="s">
        <v>9</v>
      </c>
      <c r="C19" s="5" t="s">
        <v>28</v>
      </c>
      <c r="D19" s="5" t="str">
        <f>"236000010423"</f>
        <v>236000010423</v>
      </c>
      <c r="E19" s="7">
        <v>68</v>
      </c>
      <c r="F19" s="7">
        <v>75</v>
      </c>
      <c r="G19" s="7">
        <f t="shared" si="0"/>
        <v>86.64</v>
      </c>
      <c r="H19" s="6" t="s">
        <v>13</v>
      </c>
    </row>
    <row r="20" customHeight="1" spans="1:8">
      <c r="A20" s="5" t="str">
        <f>"257820200819154822628"</f>
        <v>257820200819154822628</v>
      </c>
      <c r="B20" s="5" t="s">
        <v>9</v>
      </c>
      <c r="C20" s="5" t="s">
        <v>29</v>
      </c>
      <c r="D20" s="5" t="str">
        <f>"236000011129"</f>
        <v>236000011129</v>
      </c>
      <c r="E20" s="7">
        <v>71</v>
      </c>
      <c r="F20" s="7">
        <v>73</v>
      </c>
      <c r="G20" s="7">
        <f t="shared" si="0"/>
        <v>86.64</v>
      </c>
      <c r="H20" s="6" t="s">
        <v>13</v>
      </c>
    </row>
    <row r="21" customHeight="1" spans="1:8">
      <c r="A21" s="5" t="str">
        <f>"257820200819165136672"</f>
        <v>257820200819165136672</v>
      </c>
      <c r="B21" s="5" t="s">
        <v>9</v>
      </c>
      <c r="C21" s="5" t="s">
        <v>30</v>
      </c>
      <c r="D21" s="5" t="str">
        <f>"236000010724"</f>
        <v>236000010724</v>
      </c>
      <c r="E21" s="7">
        <v>72.5</v>
      </c>
      <c r="F21" s="7">
        <v>72</v>
      </c>
      <c r="G21" s="7">
        <f t="shared" si="0"/>
        <v>86.64</v>
      </c>
      <c r="H21" s="6" t="s">
        <v>13</v>
      </c>
    </row>
    <row r="22" customHeight="1" spans="1:8">
      <c r="A22" s="5" t="str">
        <f>"257820200819192614752"</f>
        <v>257820200819192614752</v>
      </c>
      <c r="B22" s="5" t="s">
        <v>9</v>
      </c>
      <c r="C22" s="5" t="s">
        <v>31</v>
      </c>
      <c r="D22" s="5" t="str">
        <f>"236000011402"</f>
        <v>236000011402</v>
      </c>
      <c r="E22" s="7">
        <v>72</v>
      </c>
      <c r="F22" s="7">
        <v>72</v>
      </c>
      <c r="G22" s="7">
        <f t="shared" si="0"/>
        <v>86.4</v>
      </c>
      <c r="H22" s="6" t="s">
        <v>11</v>
      </c>
    </row>
    <row r="23" customHeight="1" spans="1:8">
      <c r="A23" s="5" t="str">
        <f>"25782020081909101977"</f>
        <v>25782020081909101977</v>
      </c>
      <c r="B23" s="5" t="s">
        <v>9</v>
      </c>
      <c r="C23" s="5" t="s">
        <v>32</v>
      </c>
      <c r="D23" s="5" t="str">
        <f>"236000011318"</f>
        <v>236000011318</v>
      </c>
      <c r="E23" s="7">
        <v>64.5</v>
      </c>
      <c r="F23" s="7">
        <v>76.5</v>
      </c>
      <c r="G23" s="7">
        <f t="shared" si="0"/>
        <v>86.04</v>
      </c>
      <c r="H23" s="6" t="s">
        <v>13</v>
      </c>
    </row>
    <row r="24" customHeight="1" spans="1:8">
      <c r="A24" s="5" t="str">
        <f>"257820200819092522145"</f>
        <v>257820200819092522145</v>
      </c>
      <c r="B24" s="5" t="s">
        <v>9</v>
      </c>
      <c r="C24" s="5" t="s">
        <v>33</v>
      </c>
      <c r="D24" s="5" t="str">
        <f>"236000011127"</f>
        <v>236000011127</v>
      </c>
      <c r="E24" s="7">
        <v>73.5</v>
      </c>
      <c r="F24" s="7">
        <v>70</v>
      </c>
      <c r="G24" s="7">
        <f t="shared" si="0"/>
        <v>85.68</v>
      </c>
      <c r="H24" s="6" t="s">
        <v>13</v>
      </c>
    </row>
    <row r="25" customHeight="1" spans="1:8">
      <c r="A25" s="5" t="str">
        <f>"257820200819094529212"</f>
        <v>257820200819094529212</v>
      </c>
      <c r="B25" s="5" t="s">
        <v>9</v>
      </c>
      <c r="C25" s="5" t="s">
        <v>34</v>
      </c>
      <c r="D25" s="5" t="str">
        <f>"236000010703"</f>
        <v>236000010703</v>
      </c>
      <c r="E25" s="7">
        <v>75.5</v>
      </c>
      <c r="F25" s="7">
        <v>68.5</v>
      </c>
      <c r="G25" s="7">
        <f t="shared" si="0"/>
        <v>85.56</v>
      </c>
      <c r="H25" s="6" t="s">
        <v>13</v>
      </c>
    </row>
    <row r="26" customHeight="1" spans="1:8">
      <c r="A26" s="5" t="str">
        <f>"25782020081909131594"</f>
        <v>25782020081909131594</v>
      </c>
      <c r="B26" s="5" t="s">
        <v>9</v>
      </c>
      <c r="C26" s="5" t="s">
        <v>35</v>
      </c>
      <c r="D26" s="5" t="str">
        <f>"236000011805"</f>
        <v>236000011805</v>
      </c>
      <c r="E26" s="7">
        <v>65</v>
      </c>
      <c r="F26" s="7">
        <v>75.5</v>
      </c>
      <c r="G26" s="7">
        <f t="shared" si="0"/>
        <v>85.56</v>
      </c>
      <c r="H26" s="6" t="s">
        <v>11</v>
      </c>
    </row>
    <row r="27" customHeight="1" spans="1:8">
      <c r="A27" s="5" t="str">
        <f>"257820200819101349279"</f>
        <v>257820200819101349279</v>
      </c>
      <c r="B27" s="5" t="s">
        <v>9</v>
      </c>
      <c r="C27" s="5" t="s">
        <v>36</v>
      </c>
      <c r="D27" s="5" t="str">
        <f>"236000011508"</f>
        <v>236000011508</v>
      </c>
      <c r="E27" s="7">
        <v>67</v>
      </c>
      <c r="F27" s="7">
        <v>74</v>
      </c>
      <c r="G27" s="7">
        <f t="shared" ref="G27:G90" si="1">E27*1.2*0.4+F27*1.2*0.6</f>
        <v>85.44</v>
      </c>
      <c r="H27" s="6" t="s">
        <v>13</v>
      </c>
    </row>
    <row r="28" customHeight="1" spans="1:8">
      <c r="A28" s="5" t="str">
        <f>"257820200820070536885"</f>
        <v>257820200820070536885</v>
      </c>
      <c r="B28" s="5" t="s">
        <v>9</v>
      </c>
      <c r="C28" s="5" t="s">
        <v>37</v>
      </c>
      <c r="D28" s="5" t="str">
        <f>"236000010828"</f>
        <v>236000010828</v>
      </c>
      <c r="E28" s="7">
        <v>70.5</v>
      </c>
      <c r="F28" s="7">
        <v>71.5</v>
      </c>
      <c r="G28" s="7">
        <f t="shared" si="1"/>
        <v>85.32</v>
      </c>
      <c r="H28" s="6" t="s">
        <v>13</v>
      </c>
    </row>
    <row r="29" customHeight="1" spans="1:8">
      <c r="A29" s="5" t="str">
        <f>"25782020081909104281"</f>
        <v>25782020081909104281</v>
      </c>
      <c r="B29" s="5" t="s">
        <v>9</v>
      </c>
      <c r="C29" s="5" t="s">
        <v>38</v>
      </c>
      <c r="D29" s="5" t="str">
        <f>"236000010204"</f>
        <v>236000010204</v>
      </c>
      <c r="E29" s="7">
        <v>69.5</v>
      </c>
      <c r="F29" s="7">
        <v>72</v>
      </c>
      <c r="G29" s="7">
        <f t="shared" si="1"/>
        <v>85.2</v>
      </c>
      <c r="H29" s="6" t="s">
        <v>13</v>
      </c>
    </row>
    <row r="30" customHeight="1" spans="1:8">
      <c r="A30" s="5" t="str">
        <f>"25782020081909062861"</f>
        <v>25782020081909062861</v>
      </c>
      <c r="B30" s="5" t="s">
        <v>9</v>
      </c>
      <c r="C30" s="5" t="s">
        <v>39</v>
      </c>
      <c r="D30" s="5" t="str">
        <f>"236000012005"</f>
        <v>236000012005</v>
      </c>
      <c r="E30" s="7">
        <v>69.5</v>
      </c>
      <c r="F30" s="7">
        <v>72</v>
      </c>
      <c r="G30" s="7">
        <f t="shared" si="1"/>
        <v>85.2</v>
      </c>
      <c r="H30" s="6" t="s">
        <v>13</v>
      </c>
    </row>
    <row r="31" customHeight="1" spans="1:8">
      <c r="A31" s="5" t="str">
        <f>"2578202008210807151266"</f>
        <v>2578202008210807151266</v>
      </c>
      <c r="B31" s="5" t="s">
        <v>9</v>
      </c>
      <c r="C31" s="5" t="s">
        <v>40</v>
      </c>
      <c r="D31" s="5" t="str">
        <f>"236000010815"</f>
        <v>236000010815</v>
      </c>
      <c r="E31" s="7">
        <v>62.5</v>
      </c>
      <c r="F31" s="7">
        <v>76.5</v>
      </c>
      <c r="G31" s="7">
        <f t="shared" si="1"/>
        <v>85.08</v>
      </c>
      <c r="H31" s="6" t="s">
        <v>11</v>
      </c>
    </row>
    <row r="32" customHeight="1" spans="1:8">
      <c r="A32" s="5" t="str">
        <f>"257820200819125513516"</f>
        <v>257820200819125513516</v>
      </c>
      <c r="B32" s="5" t="s">
        <v>9</v>
      </c>
      <c r="C32" s="5" t="s">
        <v>41</v>
      </c>
      <c r="D32" s="5" t="str">
        <f>"236000011711"</f>
        <v>236000011711</v>
      </c>
      <c r="E32" s="7">
        <v>67</v>
      </c>
      <c r="F32" s="7">
        <v>73.5</v>
      </c>
      <c r="G32" s="7">
        <f t="shared" si="1"/>
        <v>85.08</v>
      </c>
      <c r="H32" s="6" t="s">
        <v>11</v>
      </c>
    </row>
    <row r="33" customHeight="1" spans="1:8">
      <c r="A33" s="5" t="str">
        <f>"257820200819142605587"</f>
        <v>257820200819142605587</v>
      </c>
      <c r="B33" s="5" t="s">
        <v>9</v>
      </c>
      <c r="C33" s="5" t="s">
        <v>42</v>
      </c>
      <c r="D33" s="5" t="str">
        <f>"236000011525"</f>
        <v>236000011525</v>
      </c>
      <c r="E33" s="7">
        <v>67.5</v>
      </c>
      <c r="F33" s="7">
        <v>73</v>
      </c>
      <c r="G33" s="7">
        <f t="shared" si="1"/>
        <v>84.96</v>
      </c>
      <c r="H33" s="6" t="s">
        <v>11</v>
      </c>
    </row>
    <row r="34" customHeight="1" spans="1:8">
      <c r="A34" s="5" t="str">
        <f>"25782020081909022225"</f>
        <v>25782020081909022225</v>
      </c>
      <c r="B34" s="5" t="s">
        <v>9</v>
      </c>
      <c r="C34" s="5" t="s">
        <v>43</v>
      </c>
      <c r="D34" s="5" t="str">
        <f>"236000011927"</f>
        <v>236000011927</v>
      </c>
      <c r="E34" s="7">
        <v>72</v>
      </c>
      <c r="F34" s="7">
        <v>70</v>
      </c>
      <c r="G34" s="7">
        <f t="shared" si="1"/>
        <v>84.96</v>
      </c>
      <c r="H34" s="6" t="s">
        <v>11</v>
      </c>
    </row>
    <row r="35" customHeight="1" spans="1:8">
      <c r="A35" s="5" t="str">
        <f>"2578202008201634471110"</f>
        <v>2578202008201634471110</v>
      </c>
      <c r="B35" s="5" t="s">
        <v>9</v>
      </c>
      <c r="C35" s="5" t="s">
        <v>44</v>
      </c>
      <c r="D35" s="5" t="str">
        <f>"236000010402"</f>
        <v>236000010402</v>
      </c>
      <c r="E35" s="7">
        <v>62</v>
      </c>
      <c r="F35" s="7">
        <v>76.5</v>
      </c>
      <c r="G35" s="7">
        <f t="shared" si="1"/>
        <v>84.84</v>
      </c>
      <c r="H35" s="6" t="s">
        <v>13</v>
      </c>
    </row>
    <row r="36" customHeight="1" spans="1:8">
      <c r="A36" s="5" t="str">
        <f>"25782020081909103279"</f>
        <v>25782020081909103279</v>
      </c>
      <c r="B36" s="5" t="s">
        <v>9</v>
      </c>
      <c r="C36" s="5" t="s">
        <v>45</v>
      </c>
      <c r="D36" s="5" t="str">
        <f>"236000010111"</f>
        <v>236000010111</v>
      </c>
      <c r="E36" s="7">
        <v>65.5</v>
      </c>
      <c r="F36" s="7">
        <v>74</v>
      </c>
      <c r="G36" s="7">
        <f t="shared" si="1"/>
        <v>84.72</v>
      </c>
      <c r="H36" s="6" t="s">
        <v>13</v>
      </c>
    </row>
    <row r="37" customHeight="1" spans="1:8">
      <c r="A37" s="5" t="str">
        <f>"257820200819110223390"</f>
        <v>257820200819110223390</v>
      </c>
      <c r="B37" s="5" t="s">
        <v>9</v>
      </c>
      <c r="C37" s="5" t="s">
        <v>46</v>
      </c>
      <c r="D37" s="5" t="str">
        <f>"236000011504"</f>
        <v>236000011504</v>
      </c>
      <c r="E37" s="7">
        <v>73</v>
      </c>
      <c r="F37" s="7">
        <v>69</v>
      </c>
      <c r="G37" s="7">
        <f t="shared" si="1"/>
        <v>84.72</v>
      </c>
      <c r="H37" s="6" t="s">
        <v>13</v>
      </c>
    </row>
    <row r="38" customHeight="1" spans="1:8">
      <c r="A38" s="5" t="str">
        <f>"25782020081909141198"</f>
        <v>25782020081909141198</v>
      </c>
      <c r="B38" s="5" t="s">
        <v>9</v>
      </c>
      <c r="C38" s="5" t="s">
        <v>47</v>
      </c>
      <c r="D38" s="5" t="str">
        <f>"236000011005"</f>
        <v>236000011005</v>
      </c>
      <c r="E38" s="7">
        <v>79.5</v>
      </c>
      <c r="F38" s="7">
        <v>64.5</v>
      </c>
      <c r="G38" s="7">
        <f t="shared" si="1"/>
        <v>84.6</v>
      </c>
      <c r="H38" s="6" t="s">
        <v>13</v>
      </c>
    </row>
    <row r="39" customHeight="1" spans="1:8">
      <c r="A39" s="5" t="str">
        <f>"257820200819135042562"</f>
        <v>257820200819135042562</v>
      </c>
      <c r="B39" s="5" t="s">
        <v>9</v>
      </c>
      <c r="C39" s="5" t="s">
        <v>48</v>
      </c>
      <c r="D39" s="5" t="str">
        <f>"236000011029"</f>
        <v>236000011029</v>
      </c>
      <c r="E39" s="7">
        <v>72</v>
      </c>
      <c r="F39" s="7">
        <v>69.5</v>
      </c>
      <c r="G39" s="7">
        <f t="shared" si="1"/>
        <v>84.6</v>
      </c>
      <c r="H39" s="6" t="s">
        <v>13</v>
      </c>
    </row>
    <row r="40" customHeight="1" spans="1:8">
      <c r="A40" s="5" t="str">
        <f>"2578202008210734101261"</f>
        <v>2578202008210734101261</v>
      </c>
      <c r="B40" s="5" t="s">
        <v>9</v>
      </c>
      <c r="C40" s="5" t="s">
        <v>49</v>
      </c>
      <c r="D40" s="5" t="str">
        <f>"236000010504"</f>
        <v>236000010504</v>
      </c>
      <c r="E40" s="7">
        <v>69.5</v>
      </c>
      <c r="F40" s="7">
        <v>71</v>
      </c>
      <c r="G40" s="7">
        <f t="shared" si="1"/>
        <v>84.48</v>
      </c>
      <c r="H40" s="6" t="s">
        <v>13</v>
      </c>
    </row>
    <row r="41" customHeight="1" spans="1:8">
      <c r="A41" s="5" t="str">
        <f>"257820200819104704356"</f>
        <v>257820200819104704356</v>
      </c>
      <c r="B41" s="5" t="s">
        <v>9</v>
      </c>
      <c r="C41" s="5" t="s">
        <v>50</v>
      </c>
      <c r="D41" s="5" t="str">
        <f>"236000010317"</f>
        <v>236000010317</v>
      </c>
      <c r="E41" s="7">
        <v>69</v>
      </c>
      <c r="F41" s="7">
        <v>71</v>
      </c>
      <c r="G41" s="7">
        <f t="shared" si="1"/>
        <v>84.24</v>
      </c>
      <c r="H41" s="6" t="s">
        <v>11</v>
      </c>
    </row>
    <row r="42" customHeight="1" spans="1:8">
      <c r="A42" s="5" t="str">
        <f>"257820200819134642560"</f>
        <v>257820200819134642560</v>
      </c>
      <c r="B42" s="5" t="s">
        <v>9</v>
      </c>
      <c r="C42" s="5" t="s">
        <v>51</v>
      </c>
      <c r="D42" s="5" t="str">
        <f>"236000011319"</f>
        <v>236000011319</v>
      </c>
      <c r="E42" s="7">
        <v>72</v>
      </c>
      <c r="F42" s="7">
        <v>69</v>
      </c>
      <c r="G42" s="7">
        <f t="shared" si="1"/>
        <v>84.24</v>
      </c>
      <c r="H42" s="6" t="s">
        <v>11</v>
      </c>
    </row>
    <row r="43" customHeight="1" spans="1:8">
      <c r="A43" s="5" t="str">
        <f>"257820200819140849574"</f>
        <v>257820200819140849574</v>
      </c>
      <c r="B43" s="5" t="s">
        <v>9</v>
      </c>
      <c r="C43" s="5" t="s">
        <v>52</v>
      </c>
      <c r="D43" s="5" t="str">
        <f>"236000010930"</f>
        <v>236000010930</v>
      </c>
      <c r="E43" s="7">
        <v>59.5</v>
      </c>
      <c r="F43" s="7">
        <v>77</v>
      </c>
      <c r="G43" s="7">
        <f t="shared" si="1"/>
        <v>84</v>
      </c>
      <c r="H43" s="6" t="s">
        <v>13</v>
      </c>
    </row>
    <row r="44" customHeight="1" spans="1:8">
      <c r="A44" s="5" t="str">
        <f>"2578202008201702491131"</f>
        <v>2578202008201702491131</v>
      </c>
      <c r="B44" s="5" t="s">
        <v>9</v>
      </c>
      <c r="C44" s="5" t="s">
        <v>53</v>
      </c>
      <c r="D44" s="5" t="str">
        <f>"236000011329"</f>
        <v>236000011329</v>
      </c>
      <c r="E44" s="7">
        <v>69</v>
      </c>
      <c r="F44" s="7">
        <v>70.5</v>
      </c>
      <c r="G44" s="7">
        <f t="shared" si="1"/>
        <v>83.88</v>
      </c>
      <c r="H44" s="6" t="s">
        <v>11</v>
      </c>
    </row>
    <row r="45" customHeight="1" spans="1:8">
      <c r="A45" s="5" t="str">
        <f>"257820200819101617288"</f>
        <v>257820200819101617288</v>
      </c>
      <c r="B45" s="5" t="s">
        <v>9</v>
      </c>
      <c r="C45" s="5" t="s">
        <v>54</v>
      </c>
      <c r="D45" s="5" t="str">
        <f>"236000012011"</f>
        <v>236000012011</v>
      </c>
      <c r="E45" s="7">
        <v>70.5</v>
      </c>
      <c r="F45" s="7">
        <v>69.5</v>
      </c>
      <c r="G45" s="7">
        <f t="shared" si="1"/>
        <v>83.88</v>
      </c>
      <c r="H45" s="6" t="s">
        <v>13</v>
      </c>
    </row>
    <row r="46" customHeight="1" spans="1:8">
      <c r="A46" s="5" t="str">
        <f>"25782020081909071365"</f>
        <v>25782020081909071365</v>
      </c>
      <c r="B46" s="5" t="s">
        <v>9</v>
      </c>
      <c r="C46" s="5" t="s">
        <v>55</v>
      </c>
      <c r="D46" s="5" t="str">
        <f>"236000010405"</f>
        <v>236000010405</v>
      </c>
      <c r="E46" s="7">
        <v>70</v>
      </c>
      <c r="F46" s="7">
        <v>69.5</v>
      </c>
      <c r="G46" s="7">
        <f t="shared" si="1"/>
        <v>83.64</v>
      </c>
      <c r="H46" s="6" t="s">
        <v>13</v>
      </c>
    </row>
    <row r="47" customHeight="1" spans="1:8">
      <c r="A47" s="5" t="str">
        <f>"257820200820105552978"</f>
        <v>257820200820105552978</v>
      </c>
      <c r="B47" s="5" t="s">
        <v>9</v>
      </c>
      <c r="C47" s="5" t="s">
        <v>56</v>
      </c>
      <c r="D47" s="5" t="str">
        <f>"236000011107"</f>
        <v>236000011107</v>
      </c>
      <c r="E47" s="7">
        <v>67.5</v>
      </c>
      <c r="F47" s="7">
        <v>70.5</v>
      </c>
      <c r="G47" s="7">
        <f t="shared" si="1"/>
        <v>83.16</v>
      </c>
      <c r="H47" s="6" t="s">
        <v>11</v>
      </c>
    </row>
    <row r="48" customHeight="1" spans="1:8">
      <c r="A48" s="5" t="str">
        <f>"257820200819190403737"</f>
        <v>257820200819190403737</v>
      </c>
      <c r="B48" s="5" t="s">
        <v>9</v>
      </c>
      <c r="C48" s="5" t="s">
        <v>57</v>
      </c>
      <c r="D48" s="5" t="str">
        <f>"236000012214"</f>
        <v>236000012214</v>
      </c>
      <c r="E48" s="7">
        <v>66</v>
      </c>
      <c r="F48" s="7">
        <v>71.5</v>
      </c>
      <c r="G48" s="7">
        <f t="shared" si="1"/>
        <v>83.16</v>
      </c>
      <c r="H48" s="6" t="s">
        <v>13</v>
      </c>
    </row>
    <row r="49" customHeight="1" spans="1:8">
      <c r="A49" s="5" t="str">
        <f>"257820200819103245326"</f>
        <v>257820200819103245326</v>
      </c>
      <c r="B49" s="5" t="s">
        <v>9</v>
      </c>
      <c r="C49" s="5" t="s">
        <v>58</v>
      </c>
      <c r="D49" s="5" t="str">
        <f>"236000012119"</f>
        <v>236000012119</v>
      </c>
      <c r="E49" s="7">
        <v>63.5</v>
      </c>
      <c r="F49" s="7">
        <v>73</v>
      </c>
      <c r="G49" s="7">
        <f t="shared" si="1"/>
        <v>83.04</v>
      </c>
      <c r="H49" s="6" t="s">
        <v>13</v>
      </c>
    </row>
    <row r="50" customHeight="1" spans="1:8">
      <c r="A50" s="5" t="str">
        <f>"257820200819110313392"</f>
        <v>257820200819110313392</v>
      </c>
      <c r="B50" s="5" t="s">
        <v>9</v>
      </c>
      <c r="C50" s="5" t="s">
        <v>59</v>
      </c>
      <c r="D50" s="5" t="str">
        <f>"236000010925"</f>
        <v>236000010925</v>
      </c>
      <c r="E50" s="7">
        <v>67.5</v>
      </c>
      <c r="F50" s="7">
        <v>70</v>
      </c>
      <c r="G50" s="7">
        <f t="shared" si="1"/>
        <v>82.8</v>
      </c>
      <c r="H50" s="6" t="s">
        <v>13</v>
      </c>
    </row>
    <row r="51" customHeight="1" spans="1:8">
      <c r="A51" s="5" t="str">
        <f>"257820200819093734190"</f>
        <v>257820200819093734190</v>
      </c>
      <c r="B51" s="5" t="s">
        <v>9</v>
      </c>
      <c r="C51" s="5" t="s">
        <v>60</v>
      </c>
      <c r="D51" s="5" t="str">
        <f>"236000012122"</f>
        <v>236000012122</v>
      </c>
      <c r="E51" s="7">
        <v>60.5</v>
      </c>
      <c r="F51" s="7">
        <v>74.5</v>
      </c>
      <c r="G51" s="7">
        <f t="shared" si="1"/>
        <v>82.68</v>
      </c>
      <c r="H51" s="6" t="s">
        <v>11</v>
      </c>
    </row>
    <row r="52" customHeight="1" spans="1:8">
      <c r="A52" s="5" t="str">
        <f>"257820200819160956640"</f>
        <v>257820200819160956640</v>
      </c>
      <c r="B52" s="5" t="s">
        <v>9</v>
      </c>
      <c r="C52" s="5" t="s">
        <v>61</v>
      </c>
      <c r="D52" s="5" t="str">
        <f>"236000010106"</f>
        <v>236000010106</v>
      </c>
      <c r="E52" s="7">
        <v>67</v>
      </c>
      <c r="F52" s="7">
        <v>70</v>
      </c>
      <c r="G52" s="7">
        <f t="shared" si="1"/>
        <v>82.56</v>
      </c>
      <c r="H52" s="6" t="s">
        <v>13</v>
      </c>
    </row>
    <row r="53" customHeight="1" spans="1:8">
      <c r="A53" s="5" t="str">
        <f>"257820200819092947158"</f>
        <v>257820200819092947158</v>
      </c>
      <c r="B53" s="5" t="s">
        <v>9</v>
      </c>
      <c r="C53" s="5" t="s">
        <v>62</v>
      </c>
      <c r="D53" s="5" t="str">
        <f>"236000010809"</f>
        <v>236000010809</v>
      </c>
      <c r="E53" s="7">
        <v>70.5</v>
      </c>
      <c r="F53" s="7">
        <v>67.5</v>
      </c>
      <c r="G53" s="7">
        <f t="shared" si="1"/>
        <v>82.44</v>
      </c>
      <c r="H53" s="6" t="s">
        <v>13</v>
      </c>
    </row>
    <row r="54" customHeight="1" spans="1:8">
      <c r="A54" s="5" t="str">
        <f>"257820200819161457646"</f>
        <v>257820200819161457646</v>
      </c>
      <c r="B54" s="5" t="s">
        <v>9</v>
      </c>
      <c r="C54" s="5" t="s">
        <v>63</v>
      </c>
      <c r="D54" s="5" t="str">
        <f>"236000012105"</f>
        <v>236000012105</v>
      </c>
      <c r="E54" s="7">
        <v>64.5</v>
      </c>
      <c r="F54" s="7">
        <v>71.5</v>
      </c>
      <c r="G54" s="7">
        <f t="shared" si="1"/>
        <v>82.44</v>
      </c>
      <c r="H54" s="6" t="s">
        <v>11</v>
      </c>
    </row>
    <row r="55" customHeight="1" spans="1:8">
      <c r="A55" s="5" t="str">
        <f>"257820200819160926639"</f>
        <v>257820200819160926639</v>
      </c>
      <c r="B55" s="5" t="s">
        <v>9</v>
      </c>
      <c r="C55" s="5" t="s">
        <v>64</v>
      </c>
      <c r="D55" s="5" t="str">
        <f>"236000011609"</f>
        <v>236000011609</v>
      </c>
      <c r="E55" s="7">
        <v>66.5</v>
      </c>
      <c r="F55" s="7">
        <v>70</v>
      </c>
      <c r="G55" s="7">
        <f t="shared" si="1"/>
        <v>82.32</v>
      </c>
      <c r="H55" s="6" t="s">
        <v>13</v>
      </c>
    </row>
    <row r="56" customHeight="1" spans="1:8">
      <c r="A56" s="5" t="str">
        <f>"257820200819092314136"</f>
        <v>257820200819092314136</v>
      </c>
      <c r="B56" s="5" t="s">
        <v>9</v>
      </c>
      <c r="C56" s="5" t="s">
        <v>65</v>
      </c>
      <c r="D56" s="5" t="str">
        <f>"236000012228"</f>
        <v>236000012228</v>
      </c>
      <c r="E56" s="7">
        <v>65</v>
      </c>
      <c r="F56" s="7">
        <v>71</v>
      </c>
      <c r="G56" s="7">
        <f t="shared" si="1"/>
        <v>82.32</v>
      </c>
      <c r="H56" s="6" t="s">
        <v>13</v>
      </c>
    </row>
    <row r="57" customHeight="1" spans="1:8">
      <c r="A57" s="5" t="str">
        <f>"2578202008190900483"</f>
        <v>2578202008190900483</v>
      </c>
      <c r="B57" s="5" t="s">
        <v>9</v>
      </c>
      <c r="C57" s="5" t="s">
        <v>66</v>
      </c>
      <c r="D57" s="5" t="str">
        <f>"236000010827"</f>
        <v>236000010827</v>
      </c>
      <c r="E57" s="7">
        <v>70.5</v>
      </c>
      <c r="F57" s="7">
        <v>67</v>
      </c>
      <c r="G57" s="7">
        <f t="shared" si="1"/>
        <v>82.08</v>
      </c>
      <c r="H57" s="6" t="s">
        <v>13</v>
      </c>
    </row>
    <row r="58" customHeight="1" spans="1:8">
      <c r="A58" s="5" t="str">
        <f>"257820200819095500236"</f>
        <v>257820200819095500236</v>
      </c>
      <c r="B58" s="5" t="s">
        <v>9</v>
      </c>
      <c r="C58" s="5" t="s">
        <v>67</v>
      </c>
      <c r="D58" s="5" t="str">
        <f>"236000011516"</f>
        <v>236000011516</v>
      </c>
      <c r="E58" s="7">
        <v>64.5</v>
      </c>
      <c r="F58" s="7">
        <v>71</v>
      </c>
      <c r="G58" s="7">
        <f t="shared" si="1"/>
        <v>82.08</v>
      </c>
      <c r="H58" s="6" t="s">
        <v>13</v>
      </c>
    </row>
    <row r="59" customHeight="1" spans="1:8">
      <c r="A59" s="5" t="str">
        <f>"257820200819103354330"</f>
        <v>257820200819103354330</v>
      </c>
      <c r="B59" s="5" t="s">
        <v>9</v>
      </c>
      <c r="C59" s="5" t="s">
        <v>68</v>
      </c>
      <c r="D59" s="5" t="str">
        <f>"236000011411"</f>
        <v>236000011411</v>
      </c>
      <c r="E59" s="7">
        <v>66.5</v>
      </c>
      <c r="F59" s="7">
        <v>69.5</v>
      </c>
      <c r="G59" s="7">
        <f t="shared" si="1"/>
        <v>81.96</v>
      </c>
      <c r="H59" s="6" t="s">
        <v>13</v>
      </c>
    </row>
    <row r="60" customHeight="1" spans="1:8">
      <c r="A60" s="5" t="str">
        <f>"2578202008201342351055"</f>
        <v>2578202008201342351055</v>
      </c>
      <c r="B60" s="5" t="s">
        <v>9</v>
      </c>
      <c r="C60" s="5" t="s">
        <v>69</v>
      </c>
      <c r="D60" s="5" t="str">
        <f>"236000012015"</f>
        <v>236000012015</v>
      </c>
      <c r="E60" s="7">
        <v>63</v>
      </c>
      <c r="F60" s="7">
        <v>71.5</v>
      </c>
      <c r="G60" s="7">
        <f t="shared" si="1"/>
        <v>81.72</v>
      </c>
      <c r="H60" s="6" t="s">
        <v>13</v>
      </c>
    </row>
    <row r="61" customHeight="1" spans="1:8">
      <c r="A61" s="5" t="str">
        <f>"25782020081909035539"</f>
        <v>25782020081909035539</v>
      </c>
      <c r="B61" s="5" t="s">
        <v>9</v>
      </c>
      <c r="C61" s="5" t="s">
        <v>70</v>
      </c>
      <c r="D61" s="5" t="str">
        <f>"236000010103"</f>
        <v>236000010103</v>
      </c>
      <c r="E61" s="7">
        <v>63.5</v>
      </c>
      <c r="F61" s="7">
        <v>71</v>
      </c>
      <c r="G61" s="7">
        <f t="shared" si="1"/>
        <v>81.6</v>
      </c>
      <c r="H61" s="6" t="s">
        <v>11</v>
      </c>
    </row>
    <row r="62" customHeight="1" spans="1:8">
      <c r="A62" s="5" t="str">
        <f>"257820200819102310301"</f>
        <v>257820200819102310301</v>
      </c>
      <c r="B62" s="5" t="s">
        <v>9</v>
      </c>
      <c r="C62" s="5" t="s">
        <v>71</v>
      </c>
      <c r="D62" s="5" t="str">
        <f>"236000010421"</f>
        <v>236000010421</v>
      </c>
      <c r="E62" s="7">
        <v>68</v>
      </c>
      <c r="F62" s="7">
        <v>68</v>
      </c>
      <c r="G62" s="7">
        <f t="shared" si="1"/>
        <v>81.6</v>
      </c>
      <c r="H62" s="6" t="s">
        <v>13</v>
      </c>
    </row>
    <row r="63" customHeight="1" spans="1:8">
      <c r="A63" s="5" t="str">
        <f>"257820200819110524399"</f>
        <v>257820200819110524399</v>
      </c>
      <c r="B63" s="5" t="s">
        <v>9</v>
      </c>
      <c r="C63" s="5" t="s">
        <v>72</v>
      </c>
      <c r="D63" s="5" t="str">
        <f>"236000012215"</f>
        <v>236000012215</v>
      </c>
      <c r="E63" s="7">
        <v>63.5</v>
      </c>
      <c r="F63" s="7">
        <v>71</v>
      </c>
      <c r="G63" s="7">
        <f t="shared" si="1"/>
        <v>81.6</v>
      </c>
      <c r="H63" s="6" t="s">
        <v>13</v>
      </c>
    </row>
    <row r="64" customHeight="1" spans="1:8">
      <c r="A64" s="5" t="str">
        <f>"2578202008201738271140"</f>
        <v>2578202008201738271140</v>
      </c>
      <c r="B64" s="5" t="s">
        <v>9</v>
      </c>
      <c r="C64" s="5" t="s">
        <v>73</v>
      </c>
      <c r="D64" s="5" t="str">
        <f>"236000010330"</f>
        <v>236000010330</v>
      </c>
      <c r="E64" s="7">
        <v>58</v>
      </c>
      <c r="F64" s="7">
        <v>74.5</v>
      </c>
      <c r="G64" s="7">
        <f t="shared" si="1"/>
        <v>81.48</v>
      </c>
      <c r="H64" s="6" t="s">
        <v>11</v>
      </c>
    </row>
    <row r="65" customHeight="1" spans="1:8">
      <c r="A65" s="5" t="str">
        <f>"257820200819100849270"</f>
        <v>257820200819100849270</v>
      </c>
      <c r="B65" s="5" t="s">
        <v>9</v>
      </c>
      <c r="C65" s="5" t="s">
        <v>74</v>
      </c>
      <c r="D65" s="5" t="str">
        <f>"236000010928"</f>
        <v>236000010928</v>
      </c>
      <c r="E65" s="7">
        <v>68.5</v>
      </c>
      <c r="F65" s="7">
        <v>67.5</v>
      </c>
      <c r="G65" s="7">
        <f t="shared" si="1"/>
        <v>81.48</v>
      </c>
      <c r="H65" s="6" t="s">
        <v>11</v>
      </c>
    </row>
    <row r="66" customHeight="1" spans="1:8">
      <c r="A66" s="5" t="str">
        <f>"2578202008201541441093"</f>
        <v>2578202008201541441093</v>
      </c>
      <c r="B66" s="5" t="s">
        <v>9</v>
      </c>
      <c r="C66" s="5" t="s">
        <v>75</v>
      </c>
      <c r="D66" s="5" t="str">
        <f>"236000011017"</f>
        <v>236000011017</v>
      </c>
      <c r="E66" s="7">
        <v>64</v>
      </c>
      <c r="F66" s="7">
        <v>70.5</v>
      </c>
      <c r="G66" s="7">
        <f t="shared" si="1"/>
        <v>81.48</v>
      </c>
      <c r="H66" s="6" t="s">
        <v>11</v>
      </c>
    </row>
    <row r="67" customHeight="1" spans="1:8">
      <c r="A67" s="5" t="str">
        <f>"257820200819101617287"</f>
        <v>257820200819101617287</v>
      </c>
      <c r="B67" s="5" t="s">
        <v>9</v>
      </c>
      <c r="C67" s="5" t="s">
        <v>76</v>
      </c>
      <c r="D67" s="5" t="str">
        <f>"236000011822"</f>
        <v>236000011822</v>
      </c>
      <c r="E67" s="7">
        <v>70</v>
      </c>
      <c r="F67" s="7">
        <v>66.5</v>
      </c>
      <c r="G67" s="7">
        <f t="shared" si="1"/>
        <v>81.48</v>
      </c>
      <c r="H67" s="6" t="s">
        <v>13</v>
      </c>
    </row>
    <row r="68" customHeight="1" spans="1:8">
      <c r="A68" s="5" t="str">
        <f>"257820200819210901813"</f>
        <v>257820200819210901813</v>
      </c>
      <c r="B68" s="5" t="s">
        <v>9</v>
      </c>
      <c r="C68" s="5" t="s">
        <v>77</v>
      </c>
      <c r="D68" s="5" t="str">
        <f>"236000011722"</f>
        <v>236000011722</v>
      </c>
      <c r="E68" s="7">
        <v>70.5</v>
      </c>
      <c r="F68" s="7">
        <v>66</v>
      </c>
      <c r="G68" s="7">
        <f t="shared" si="1"/>
        <v>81.36</v>
      </c>
      <c r="H68" s="6" t="s">
        <v>13</v>
      </c>
    </row>
    <row r="69" customHeight="1" spans="1:8">
      <c r="A69" s="5" t="str">
        <f>"257820200819093505184"</f>
        <v>257820200819093505184</v>
      </c>
      <c r="B69" s="5" t="s">
        <v>9</v>
      </c>
      <c r="C69" s="5" t="s">
        <v>78</v>
      </c>
      <c r="D69" s="5" t="str">
        <f>"236000010223"</f>
        <v>236000010223</v>
      </c>
      <c r="E69" s="7">
        <v>64.5</v>
      </c>
      <c r="F69" s="7">
        <v>70</v>
      </c>
      <c r="G69" s="7">
        <f t="shared" si="1"/>
        <v>81.36</v>
      </c>
      <c r="H69" s="6" t="s">
        <v>13</v>
      </c>
    </row>
    <row r="70" customHeight="1" spans="1:8">
      <c r="A70" s="5" t="str">
        <f>"25782020081909112984"</f>
        <v>25782020081909112984</v>
      </c>
      <c r="B70" s="5" t="s">
        <v>9</v>
      </c>
      <c r="C70" s="5" t="s">
        <v>79</v>
      </c>
      <c r="D70" s="5" t="str">
        <f>"236000010119"</f>
        <v>236000010119</v>
      </c>
      <c r="E70" s="7">
        <v>65.5</v>
      </c>
      <c r="F70" s="7">
        <v>69</v>
      </c>
      <c r="G70" s="7">
        <f t="shared" si="1"/>
        <v>81.12</v>
      </c>
      <c r="H70" s="6" t="s">
        <v>11</v>
      </c>
    </row>
    <row r="71" customHeight="1" spans="1:8">
      <c r="A71" s="5" t="str">
        <f>"257820200819155205631"</f>
        <v>257820200819155205631</v>
      </c>
      <c r="B71" s="5" t="s">
        <v>9</v>
      </c>
      <c r="C71" s="5" t="s">
        <v>80</v>
      </c>
      <c r="D71" s="5" t="str">
        <f>"236000011823"</f>
        <v>236000011823</v>
      </c>
      <c r="E71" s="7">
        <v>64</v>
      </c>
      <c r="F71" s="7">
        <v>70</v>
      </c>
      <c r="G71" s="7">
        <f t="shared" si="1"/>
        <v>81.12</v>
      </c>
      <c r="H71" s="6" t="s">
        <v>11</v>
      </c>
    </row>
    <row r="72" customHeight="1" spans="1:8">
      <c r="A72" s="5" t="str">
        <f>"257820200819091615107"</f>
        <v>257820200819091615107</v>
      </c>
      <c r="B72" s="5" t="s">
        <v>9</v>
      </c>
      <c r="C72" s="5" t="s">
        <v>81</v>
      </c>
      <c r="D72" s="5" t="str">
        <f>"236000012312"</f>
        <v>236000012312</v>
      </c>
      <c r="E72" s="7">
        <v>61</v>
      </c>
      <c r="F72" s="7">
        <v>72</v>
      </c>
      <c r="G72" s="7">
        <f t="shared" si="1"/>
        <v>81.12</v>
      </c>
      <c r="H72" s="6" t="s">
        <v>13</v>
      </c>
    </row>
    <row r="73" customHeight="1" spans="1:8">
      <c r="A73" s="5" t="str">
        <f>"257820200819104531354"</f>
        <v>257820200819104531354</v>
      </c>
      <c r="B73" s="5" t="s">
        <v>9</v>
      </c>
      <c r="C73" s="5" t="s">
        <v>82</v>
      </c>
      <c r="D73" s="5" t="str">
        <f>"236000010209"</f>
        <v>236000010209</v>
      </c>
      <c r="E73" s="7">
        <v>66</v>
      </c>
      <c r="F73" s="7">
        <v>68.5</v>
      </c>
      <c r="G73" s="7">
        <f t="shared" si="1"/>
        <v>81</v>
      </c>
      <c r="H73" s="6" t="s">
        <v>13</v>
      </c>
    </row>
    <row r="74" customHeight="1" spans="1:8">
      <c r="A74" s="5" t="str">
        <f>"2578202008210917241283"</f>
        <v>2578202008210917241283</v>
      </c>
      <c r="B74" s="5" t="s">
        <v>9</v>
      </c>
      <c r="C74" s="5" t="s">
        <v>83</v>
      </c>
      <c r="D74" s="5" t="str">
        <f>"236000011128"</f>
        <v>236000011128</v>
      </c>
      <c r="E74" s="7">
        <v>58.5</v>
      </c>
      <c r="F74" s="7">
        <v>73.5</v>
      </c>
      <c r="G74" s="7">
        <f t="shared" si="1"/>
        <v>81</v>
      </c>
      <c r="H74" s="6" t="s">
        <v>13</v>
      </c>
    </row>
    <row r="75" customHeight="1" spans="1:8">
      <c r="A75" s="5" t="str">
        <f>"257820200819201621784"</f>
        <v>257820200819201621784</v>
      </c>
      <c r="B75" s="5" t="s">
        <v>9</v>
      </c>
      <c r="C75" s="5" t="s">
        <v>84</v>
      </c>
      <c r="D75" s="5" t="str">
        <f>"236000010404"</f>
        <v>236000010404</v>
      </c>
      <c r="E75" s="7">
        <v>68</v>
      </c>
      <c r="F75" s="7">
        <v>67</v>
      </c>
      <c r="G75" s="7">
        <f t="shared" si="1"/>
        <v>80.88</v>
      </c>
      <c r="H75" s="6" t="s">
        <v>13</v>
      </c>
    </row>
    <row r="76" customHeight="1" spans="1:8">
      <c r="A76" s="5" t="str">
        <f>"2578202008211441141391"</f>
        <v>2578202008211441141391</v>
      </c>
      <c r="B76" s="5" t="s">
        <v>9</v>
      </c>
      <c r="C76" s="5" t="s">
        <v>85</v>
      </c>
      <c r="D76" s="5" t="str">
        <f>"236000010929"</f>
        <v>236000010929</v>
      </c>
      <c r="E76" s="7">
        <v>65</v>
      </c>
      <c r="F76" s="7">
        <v>69</v>
      </c>
      <c r="G76" s="7">
        <f t="shared" si="1"/>
        <v>80.88</v>
      </c>
      <c r="H76" s="6" t="s">
        <v>11</v>
      </c>
    </row>
    <row r="77" customHeight="1" spans="1:8">
      <c r="A77" s="5" t="str">
        <f>"257820200819091843115"</f>
        <v>257820200819091843115</v>
      </c>
      <c r="B77" s="5" t="s">
        <v>9</v>
      </c>
      <c r="C77" s="5" t="s">
        <v>86</v>
      </c>
      <c r="D77" s="5" t="str">
        <f>"236000011208"</f>
        <v>236000011208</v>
      </c>
      <c r="E77" s="7">
        <v>64.5</v>
      </c>
      <c r="F77" s="7">
        <v>69</v>
      </c>
      <c r="G77" s="7">
        <f t="shared" si="1"/>
        <v>80.64</v>
      </c>
      <c r="H77" s="6" t="s">
        <v>11</v>
      </c>
    </row>
    <row r="78" customHeight="1" spans="1:8">
      <c r="A78" s="5" t="str">
        <f>"257820200819121740483"</f>
        <v>257820200819121740483</v>
      </c>
      <c r="B78" s="5" t="s">
        <v>9</v>
      </c>
      <c r="C78" s="5" t="s">
        <v>87</v>
      </c>
      <c r="D78" s="5" t="str">
        <f>"236000012314"</f>
        <v>236000012314</v>
      </c>
      <c r="E78" s="7">
        <v>64.5</v>
      </c>
      <c r="F78" s="7">
        <v>69</v>
      </c>
      <c r="G78" s="7">
        <f t="shared" si="1"/>
        <v>80.64</v>
      </c>
      <c r="H78" s="6" t="s">
        <v>11</v>
      </c>
    </row>
    <row r="79" customHeight="1" spans="1:8">
      <c r="A79" s="5" t="str">
        <f>"257820200820094708936"</f>
        <v>257820200820094708936</v>
      </c>
      <c r="B79" s="5" t="s">
        <v>9</v>
      </c>
      <c r="C79" s="5" t="s">
        <v>88</v>
      </c>
      <c r="D79" s="5" t="str">
        <f>"236000012402"</f>
        <v>236000012402</v>
      </c>
      <c r="E79" s="7">
        <v>69</v>
      </c>
      <c r="F79" s="7">
        <v>66</v>
      </c>
      <c r="G79" s="7">
        <f t="shared" si="1"/>
        <v>80.64</v>
      </c>
      <c r="H79" s="6" t="s">
        <v>11</v>
      </c>
    </row>
    <row r="80" customHeight="1" spans="1:8">
      <c r="A80" s="5" t="str">
        <f>"257820200819094357210"</f>
        <v>257820200819094357210</v>
      </c>
      <c r="B80" s="5" t="s">
        <v>9</v>
      </c>
      <c r="C80" s="5" t="s">
        <v>89</v>
      </c>
      <c r="D80" s="5" t="str">
        <f>"236000011817"</f>
        <v>236000011817</v>
      </c>
      <c r="E80" s="7">
        <v>60</v>
      </c>
      <c r="F80" s="7">
        <v>72</v>
      </c>
      <c r="G80" s="7">
        <f t="shared" si="1"/>
        <v>80.64</v>
      </c>
      <c r="H80" s="6" t="s">
        <v>13</v>
      </c>
    </row>
    <row r="81" customHeight="1" spans="1:8">
      <c r="A81" s="5" t="str">
        <f>"2578202008201451241071"</f>
        <v>2578202008201451241071</v>
      </c>
      <c r="B81" s="5" t="s">
        <v>9</v>
      </c>
      <c r="C81" s="5" t="s">
        <v>90</v>
      </c>
      <c r="D81" s="5" t="str">
        <f>"236000010410"</f>
        <v>236000010410</v>
      </c>
      <c r="E81" s="7">
        <v>59</v>
      </c>
      <c r="F81" s="7">
        <v>72.5</v>
      </c>
      <c r="G81" s="7">
        <f t="shared" si="1"/>
        <v>80.52</v>
      </c>
      <c r="H81" s="6" t="s">
        <v>13</v>
      </c>
    </row>
    <row r="82" customHeight="1" spans="1:8">
      <c r="A82" s="5" t="str">
        <f>"257820200819102800314"</f>
        <v>257820200819102800314</v>
      </c>
      <c r="B82" s="5" t="s">
        <v>9</v>
      </c>
      <c r="C82" s="5" t="s">
        <v>91</v>
      </c>
      <c r="D82" s="5" t="str">
        <f>"236000010615"</f>
        <v>236000010615</v>
      </c>
      <c r="E82" s="7">
        <v>65</v>
      </c>
      <c r="F82" s="7">
        <v>68.5</v>
      </c>
      <c r="G82" s="7">
        <f t="shared" si="1"/>
        <v>80.52</v>
      </c>
      <c r="H82" s="6" t="s">
        <v>13</v>
      </c>
    </row>
    <row r="83" customHeight="1" spans="1:8">
      <c r="A83" s="5" t="str">
        <f>"257820200819141652582"</f>
        <v>257820200819141652582</v>
      </c>
      <c r="B83" s="5" t="s">
        <v>9</v>
      </c>
      <c r="C83" s="5" t="s">
        <v>92</v>
      </c>
      <c r="D83" s="5" t="str">
        <f>"236000011917"</f>
        <v>236000011917</v>
      </c>
      <c r="E83" s="7">
        <v>68.5</v>
      </c>
      <c r="F83" s="7">
        <v>65.5</v>
      </c>
      <c r="G83" s="7">
        <f t="shared" si="1"/>
        <v>80.04</v>
      </c>
      <c r="H83" s="6" t="s">
        <v>11</v>
      </c>
    </row>
    <row r="84" customHeight="1" spans="1:8">
      <c r="A84" s="5" t="str">
        <f>"257820200819095205227"</f>
        <v>257820200819095205227</v>
      </c>
      <c r="B84" s="5" t="s">
        <v>9</v>
      </c>
      <c r="C84" s="5" t="s">
        <v>93</v>
      </c>
      <c r="D84" s="5" t="str">
        <f>"236000011725"</f>
        <v>236000011725</v>
      </c>
      <c r="E84" s="7">
        <v>64.5</v>
      </c>
      <c r="F84" s="7">
        <v>68</v>
      </c>
      <c r="G84" s="7">
        <f t="shared" si="1"/>
        <v>79.92</v>
      </c>
      <c r="H84" s="6" t="s">
        <v>13</v>
      </c>
    </row>
    <row r="85" customHeight="1" spans="1:8">
      <c r="A85" s="5" t="str">
        <f>"257820200820082801896"</f>
        <v>257820200820082801896</v>
      </c>
      <c r="B85" s="5" t="s">
        <v>9</v>
      </c>
      <c r="C85" s="5" t="s">
        <v>94</v>
      </c>
      <c r="D85" s="5" t="str">
        <f>"236000010311"</f>
        <v>236000010311</v>
      </c>
      <c r="E85" s="7">
        <v>56.5</v>
      </c>
      <c r="F85" s="7">
        <v>73</v>
      </c>
      <c r="G85" s="7">
        <f t="shared" si="1"/>
        <v>79.68</v>
      </c>
      <c r="H85" s="6" t="s">
        <v>11</v>
      </c>
    </row>
    <row r="86" customHeight="1" spans="1:8">
      <c r="A86" s="5" t="str">
        <f>"2578202008201853381166"</f>
        <v>2578202008201853381166</v>
      </c>
      <c r="B86" s="5" t="s">
        <v>9</v>
      </c>
      <c r="C86" s="5" t="s">
        <v>95</v>
      </c>
      <c r="D86" s="5" t="str">
        <f>"236000010916"</f>
        <v>236000010916</v>
      </c>
      <c r="E86" s="7">
        <v>59.5</v>
      </c>
      <c r="F86" s="7">
        <v>71</v>
      </c>
      <c r="G86" s="7">
        <f t="shared" si="1"/>
        <v>79.68</v>
      </c>
      <c r="H86" s="6" t="s">
        <v>11</v>
      </c>
    </row>
    <row r="87" customHeight="1" spans="1:8">
      <c r="A87" s="5" t="str">
        <f>"2578202008201715411134"</f>
        <v>2578202008201715411134</v>
      </c>
      <c r="B87" s="5" t="s">
        <v>9</v>
      </c>
      <c r="C87" s="5" t="s">
        <v>96</v>
      </c>
      <c r="D87" s="5" t="str">
        <f>"236000011913"</f>
        <v>236000011913</v>
      </c>
      <c r="E87" s="7">
        <v>70</v>
      </c>
      <c r="F87" s="7">
        <v>64</v>
      </c>
      <c r="G87" s="7">
        <f t="shared" si="1"/>
        <v>79.68</v>
      </c>
      <c r="H87" s="6" t="s">
        <v>13</v>
      </c>
    </row>
    <row r="88" customHeight="1" spans="1:8">
      <c r="A88" s="5" t="str">
        <f>"257820200819140429570"</f>
        <v>257820200819140429570</v>
      </c>
      <c r="B88" s="5" t="s">
        <v>9</v>
      </c>
      <c r="C88" s="5" t="s">
        <v>97</v>
      </c>
      <c r="D88" s="5" t="str">
        <f>"236000010714"</f>
        <v>236000010714</v>
      </c>
      <c r="E88" s="7">
        <v>63</v>
      </c>
      <c r="F88" s="7">
        <v>68.5</v>
      </c>
      <c r="G88" s="7">
        <f t="shared" si="1"/>
        <v>79.56</v>
      </c>
      <c r="H88" s="6" t="s">
        <v>13</v>
      </c>
    </row>
    <row r="89" customHeight="1" spans="1:8">
      <c r="A89" s="5" t="str">
        <f>"257820200820095755943"</f>
        <v>257820200820095755943</v>
      </c>
      <c r="B89" s="5" t="s">
        <v>9</v>
      </c>
      <c r="C89" s="5" t="s">
        <v>98</v>
      </c>
      <c r="D89" s="5" t="str">
        <f>"236000010429"</f>
        <v>236000010429</v>
      </c>
      <c r="E89" s="7">
        <v>58.5</v>
      </c>
      <c r="F89" s="7">
        <v>71.5</v>
      </c>
      <c r="G89" s="7">
        <f t="shared" si="1"/>
        <v>79.56</v>
      </c>
      <c r="H89" s="6" t="s">
        <v>11</v>
      </c>
    </row>
    <row r="90" customHeight="1" spans="1:8">
      <c r="A90" s="5" t="str">
        <f>"257820200819092306134"</f>
        <v>257820200819092306134</v>
      </c>
      <c r="B90" s="5" t="s">
        <v>9</v>
      </c>
      <c r="C90" s="5" t="s">
        <v>99</v>
      </c>
      <c r="D90" s="5" t="str">
        <f>"236000011511"</f>
        <v>236000011511</v>
      </c>
      <c r="E90" s="7">
        <v>61.5</v>
      </c>
      <c r="F90" s="7">
        <v>69.5</v>
      </c>
      <c r="G90" s="7">
        <f t="shared" si="1"/>
        <v>79.56</v>
      </c>
      <c r="H90" s="6" t="s">
        <v>13</v>
      </c>
    </row>
    <row r="91" customHeight="1" spans="1:8">
      <c r="A91" s="5" t="str">
        <f>"257820200819105326376"</f>
        <v>257820200819105326376</v>
      </c>
      <c r="B91" s="5" t="s">
        <v>9</v>
      </c>
      <c r="C91" s="5" t="s">
        <v>100</v>
      </c>
      <c r="D91" s="5" t="str">
        <f>"236000012120"</f>
        <v>236000012120</v>
      </c>
      <c r="E91" s="7">
        <v>67.5</v>
      </c>
      <c r="F91" s="7">
        <v>65.5</v>
      </c>
      <c r="G91" s="7">
        <f>E91*1.2*0.4+F91*1.2*0.6</f>
        <v>79.56</v>
      </c>
      <c r="H91" s="6" t="s">
        <v>11</v>
      </c>
    </row>
    <row r="92" customHeight="1" spans="1:8">
      <c r="A92" s="5" t="str">
        <f>"257820200819181311705"</f>
        <v>257820200819181311705</v>
      </c>
      <c r="B92" s="5" t="s">
        <v>9</v>
      </c>
      <c r="C92" s="5" t="s">
        <v>101</v>
      </c>
      <c r="D92" s="5" t="str">
        <f>"236000010518"</f>
        <v>236000010518</v>
      </c>
      <c r="E92" s="7">
        <v>62</v>
      </c>
      <c r="F92" s="7">
        <v>69</v>
      </c>
      <c r="G92" s="7">
        <f>E92*1.2*0.4+F92*1.2*0.6</f>
        <v>79.44</v>
      </c>
      <c r="H92" s="6" t="s">
        <v>13</v>
      </c>
    </row>
    <row r="93" customHeight="1" spans="1:8">
      <c r="A93" s="5" t="str">
        <f>"257820200819132446541"</f>
        <v>257820200819132446541</v>
      </c>
      <c r="B93" s="5" t="s">
        <v>9</v>
      </c>
      <c r="C93" s="5" t="s">
        <v>102</v>
      </c>
      <c r="D93" s="5" t="str">
        <f>"236000010521"</f>
        <v>236000010521</v>
      </c>
      <c r="E93" s="7">
        <v>66.5</v>
      </c>
      <c r="F93" s="7">
        <v>66</v>
      </c>
      <c r="G93" s="7">
        <f>E93*1.2*0.4+F93*1.2*0.6</f>
        <v>79.44</v>
      </c>
      <c r="H93" s="6" t="s">
        <v>13</v>
      </c>
    </row>
    <row r="94" customHeight="1" spans="1:8">
      <c r="A94" s="5" t="str">
        <f>"25782020081909030729"</f>
        <v>25782020081909030729</v>
      </c>
      <c r="B94" s="5" t="s">
        <v>9</v>
      </c>
      <c r="C94" s="5" t="s">
        <v>103</v>
      </c>
      <c r="D94" s="5" t="str">
        <f>"236000010716"</f>
        <v>236000010716</v>
      </c>
      <c r="E94" s="7">
        <v>64</v>
      </c>
      <c r="F94" s="7">
        <v>67.5</v>
      </c>
      <c r="G94" s="7">
        <f t="shared" ref="G94:G143" si="2">E94*1.2*0.4+F94*1.2*0.6</f>
        <v>79.32</v>
      </c>
      <c r="H94" s="6" t="s">
        <v>13</v>
      </c>
    </row>
    <row r="95" customHeight="1" spans="1:8">
      <c r="A95" s="5" t="str">
        <f>"257820200819092447141"</f>
        <v>257820200819092447141</v>
      </c>
      <c r="B95" s="5" t="s">
        <v>9</v>
      </c>
      <c r="C95" s="5" t="s">
        <v>104</v>
      </c>
      <c r="D95" s="5" t="str">
        <f>"236000010509"</f>
        <v>236000010509</v>
      </c>
      <c r="E95" s="7">
        <v>66</v>
      </c>
      <c r="F95" s="7">
        <v>66</v>
      </c>
      <c r="G95" s="7">
        <f t="shared" si="2"/>
        <v>79.2</v>
      </c>
      <c r="H95" s="6" t="s">
        <v>11</v>
      </c>
    </row>
    <row r="96" customHeight="1" spans="1:8">
      <c r="A96" s="5" t="str">
        <f>"2578202008201415421060"</f>
        <v>2578202008201415421060</v>
      </c>
      <c r="B96" s="5" t="s">
        <v>9</v>
      </c>
      <c r="C96" s="5" t="s">
        <v>105</v>
      </c>
      <c r="D96" s="5" t="str">
        <f>"236000011728"</f>
        <v>236000011728</v>
      </c>
      <c r="E96" s="7">
        <v>69</v>
      </c>
      <c r="F96" s="7">
        <v>64</v>
      </c>
      <c r="G96" s="7">
        <f t="shared" si="2"/>
        <v>79.2</v>
      </c>
      <c r="H96" s="6" t="s">
        <v>13</v>
      </c>
    </row>
    <row r="97" customHeight="1" spans="1:8">
      <c r="A97" s="5" t="str">
        <f>"257820200819094306206"</f>
        <v>257820200819094306206</v>
      </c>
      <c r="B97" s="5" t="s">
        <v>9</v>
      </c>
      <c r="C97" s="5" t="s">
        <v>106</v>
      </c>
      <c r="D97" s="5" t="str">
        <f>"236000011523"</f>
        <v>236000011523</v>
      </c>
      <c r="E97" s="7">
        <v>63.5</v>
      </c>
      <c r="F97" s="7">
        <v>67.5</v>
      </c>
      <c r="G97" s="7">
        <f t="shared" si="2"/>
        <v>79.08</v>
      </c>
      <c r="H97" s="6" t="s">
        <v>13</v>
      </c>
    </row>
    <row r="98" customHeight="1" spans="1:8">
      <c r="A98" s="5" t="str">
        <f>"257820200819114157442"</f>
        <v>257820200819114157442</v>
      </c>
      <c r="B98" s="5" t="s">
        <v>9</v>
      </c>
      <c r="C98" s="5" t="s">
        <v>107</v>
      </c>
      <c r="D98" s="5" t="str">
        <f>"236000011901"</f>
        <v>236000011901</v>
      </c>
      <c r="E98" s="7">
        <v>66.5</v>
      </c>
      <c r="F98" s="7">
        <v>65.5</v>
      </c>
      <c r="G98" s="7">
        <f t="shared" si="2"/>
        <v>79.08</v>
      </c>
      <c r="H98" s="6" t="s">
        <v>13</v>
      </c>
    </row>
    <row r="99" customHeight="1" spans="1:8">
      <c r="A99" s="5" t="str">
        <f>"2578202008211053401318"</f>
        <v>2578202008211053401318</v>
      </c>
      <c r="B99" s="5" t="s">
        <v>9</v>
      </c>
      <c r="C99" s="5" t="s">
        <v>108</v>
      </c>
      <c r="D99" s="5" t="str">
        <f>"236000011902"</f>
        <v>236000011902</v>
      </c>
      <c r="E99" s="7">
        <v>59.5</v>
      </c>
      <c r="F99" s="7">
        <v>70</v>
      </c>
      <c r="G99" s="7">
        <f t="shared" si="2"/>
        <v>78.96</v>
      </c>
      <c r="H99" s="6" t="s">
        <v>13</v>
      </c>
    </row>
    <row r="100" customHeight="1" spans="1:8">
      <c r="A100" s="5" t="str">
        <f>"25782020081909035137"</f>
        <v>25782020081909035137</v>
      </c>
      <c r="B100" s="5" t="s">
        <v>9</v>
      </c>
      <c r="C100" s="5" t="s">
        <v>109</v>
      </c>
      <c r="D100" s="5" t="str">
        <f>"236000010726"</f>
        <v>236000010726</v>
      </c>
      <c r="E100" s="7">
        <v>64.5</v>
      </c>
      <c r="F100" s="7">
        <v>66.5</v>
      </c>
      <c r="G100" s="7">
        <f t="shared" si="2"/>
        <v>78.84</v>
      </c>
      <c r="H100" s="6" t="s">
        <v>13</v>
      </c>
    </row>
    <row r="101" customHeight="1" spans="1:8">
      <c r="A101" s="5" t="str">
        <f>"2578202008212022411467"</f>
        <v>2578202008212022411467</v>
      </c>
      <c r="B101" s="5" t="s">
        <v>9</v>
      </c>
      <c r="C101" s="5" t="s">
        <v>110</v>
      </c>
      <c r="D101" s="5" t="str">
        <f>"236000011223"</f>
        <v>236000011223</v>
      </c>
      <c r="E101" s="7">
        <v>61.5</v>
      </c>
      <c r="F101" s="7">
        <v>68.5</v>
      </c>
      <c r="G101" s="7">
        <f t="shared" si="2"/>
        <v>78.84</v>
      </c>
      <c r="H101" s="6" t="s">
        <v>13</v>
      </c>
    </row>
    <row r="102" customHeight="1" spans="1:8">
      <c r="A102" s="5" t="str">
        <f>"257820200819134316557"</f>
        <v>257820200819134316557</v>
      </c>
      <c r="B102" s="5" t="s">
        <v>9</v>
      </c>
      <c r="C102" s="5" t="s">
        <v>111</v>
      </c>
      <c r="D102" s="5" t="str">
        <f>"236000011914"</f>
        <v>236000011914</v>
      </c>
      <c r="E102" s="7">
        <v>62</v>
      </c>
      <c r="F102" s="7">
        <v>68</v>
      </c>
      <c r="G102" s="7">
        <f t="shared" si="2"/>
        <v>78.72</v>
      </c>
      <c r="H102" s="6" t="s">
        <v>13</v>
      </c>
    </row>
    <row r="103" customHeight="1" spans="1:8">
      <c r="A103" s="5" t="str">
        <f>"257820200820063208880"</f>
        <v>257820200820063208880</v>
      </c>
      <c r="B103" s="5" t="s">
        <v>9</v>
      </c>
      <c r="C103" s="5" t="s">
        <v>112</v>
      </c>
      <c r="D103" s="5" t="str">
        <f>"236000012212"</f>
        <v>236000012212</v>
      </c>
      <c r="E103" s="7">
        <v>64</v>
      </c>
      <c r="F103" s="7">
        <v>66.5</v>
      </c>
      <c r="G103" s="7">
        <f t="shared" si="2"/>
        <v>78.6</v>
      </c>
      <c r="H103" s="6" t="s">
        <v>13</v>
      </c>
    </row>
    <row r="104" customHeight="1" spans="1:8">
      <c r="A104" s="5" t="str">
        <f>"257820200819190905740"</f>
        <v>257820200819190905740</v>
      </c>
      <c r="B104" s="5" t="s">
        <v>9</v>
      </c>
      <c r="C104" s="5" t="s">
        <v>113</v>
      </c>
      <c r="D104" s="5" t="str">
        <f>"236000012308"</f>
        <v>236000012308</v>
      </c>
      <c r="E104" s="7">
        <v>64.5</v>
      </c>
      <c r="F104" s="7">
        <v>66</v>
      </c>
      <c r="G104" s="7">
        <f t="shared" si="2"/>
        <v>78.48</v>
      </c>
      <c r="H104" s="6" t="s">
        <v>11</v>
      </c>
    </row>
    <row r="105" customHeight="1" spans="1:8">
      <c r="A105" s="5" t="str">
        <f>"257820200819115757460"</f>
        <v>257820200819115757460</v>
      </c>
      <c r="B105" s="5" t="s">
        <v>9</v>
      </c>
      <c r="C105" s="5" t="s">
        <v>114</v>
      </c>
      <c r="D105" s="5" t="str">
        <f>"236000011910"</f>
        <v>236000011910</v>
      </c>
      <c r="E105" s="7">
        <v>60.5</v>
      </c>
      <c r="F105" s="7">
        <v>68.5</v>
      </c>
      <c r="G105" s="7">
        <f t="shared" si="2"/>
        <v>78.36</v>
      </c>
      <c r="H105" s="6" t="s">
        <v>13</v>
      </c>
    </row>
    <row r="106" customHeight="1" spans="1:8">
      <c r="A106" s="5" t="str">
        <f>"2578202008202155501231"</f>
        <v>2578202008202155501231</v>
      </c>
      <c r="B106" s="5" t="s">
        <v>9</v>
      </c>
      <c r="C106" s="5" t="s">
        <v>115</v>
      </c>
      <c r="D106" s="5" t="str">
        <f>"236000011928"</f>
        <v>236000011928</v>
      </c>
      <c r="E106" s="7">
        <v>63.5</v>
      </c>
      <c r="F106" s="7">
        <v>66.5</v>
      </c>
      <c r="G106" s="7">
        <f t="shared" si="2"/>
        <v>78.36</v>
      </c>
      <c r="H106" s="6" t="s">
        <v>11</v>
      </c>
    </row>
    <row r="107" customHeight="1" spans="1:8">
      <c r="A107" s="5" t="str">
        <f>"257820200819132431540"</f>
        <v>257820200819132431540</v>
      </c>
      <c r="B107" s="5" t="s">
        <v>9</v>
      </c>
      <c r="C107" s="5" t="s">
        <v>116</v>
      </c>
      <c r="D107" s="5" t="str">
        <f>"236000012201"</f>
        <v>236000012201</v>
      </c>
      <c r="E107" s="7">
        <v>62</v>
      </c>
      <c r="F107" s="7">
        <v>67.5</v>
      </c>
      <c r="G107" s="7">
        <f t="shared" si="2"/>
        <v>78.36</v>
      </c>
      <c r="H107" s="6" t="s">
        <v>13</v>
      </c>
    </row>
    <row r="108" customHeight="1" spans="1:8">
      <c r="A108" s="5" t="str">
        <f>"257820200819101936293"</f>
        <v>257820200819101936293</v>
      </c>
      <c r="B108" s="5" t="s">
        <v>9</v>
      </c>
      <c r="C108" s="5" t="s">
        <v>117</v>
      </c>
      <c r="D108" s="5" t="str">
        <f>"236000011316"</f>
        <v>236000011316</v>
      </c>
      <c r="E108" s="7">
        <v>65.5</v>
      </c>
      <c r="F108" s="7">
        <v>65</v>
      </c>
      <c r="G108" s="7">
        <f t="shared" si="2"/>
        <v>78.24</v>
      </c>
      <c r="H108" s="6" t="s">
        <v>13</v>
      </c>
    </row>
    <row r="109" customHeight="1" spans="1:8">
      <c r="A109" s="5" t="str">
        <f>"257820200819121951486"</f>
        <v>257820200819121951486</v>
      </c>
      <c r="B109" s="5" t="s">
        <v>9</v>
      </c>
      <c r="C109" s="5" t="s">
        <v>118</v>
      </c>
      <c r="D109" s="5" t="str">
        <f>"236000012002"</f>
        <v>236000012002</v>
      </c>
      <c r="E109" s="7">
        <v>65.5</v>
      </c>
      <c r="F109" s="7">
        <v>65</v>
      </c>
      <c r="G109" s="7">
        <f t="shared" si="2"/>
        <v>78.24</v>
      </c>
      <c r="H109" s="6" t="s">
        <v>11</v>
      </c>
    </row>
    <row r="110" customHeight="1" spans="1:8">
      <c r="A110" s="5" t="str">
        <f>"257820200819141802583"</f>
        <v>257820200819141802583</v>
      </c>
      <c r="B110" s="5" t="s">
        <v>9</v>
      </c>
      <c r="C110" s="5" t="s">
        <v>119</v>
      </c>
      <c r="D110" s="5" t="str">
        <f>"236000012012"</f>
        <v>236000012012</v>
      </c>
      <c r="E110" s="7">
        <v>72</v>
      </c>
      <c r="F110" s="7">
        <v>60.5</v>
      </c>
      <c r="G110" s="7">
        <f t="shared" si="2"/>
        <v>78.12</v>
      </c>
      <c r="H110" s="6" t="s">
        <v>13</v>
      </c>
    </row>
    <row r="111" customHeight="1" spans="1:8">
      <c r="A111" s="5" t="str">
        <f>"257820200819093420176"</f>
        <v>257820200819093420176</v>
      </c>
      <c r="B111" s="5" t="s">
        <v>9</v>
      </c>
      <c r="C111" s="5" t="s">
        <v>120</v>
      </c>
      <c r="D111" s="5" t="str">
        <f>"236000010517"</f>
        <v>236000010517</v>
      </c>
      <c r="E111" s="7">
        <v>63.5</v>
      </c>
      <c r="F111" s="7">
        <v>66</v>
      </c>
      <c r="G111" s="7">
        <f t="shared" si="2"/>
        <v>78</v>
      </c>
      <c r="H111" s="6" t="s">
        <v>13</v>
      </c>
    </row>
    <row r="112" customHeight="1" spans="1:8">
      <c r="A112" s="5" t="str">
        <f>"257820200819234114868"</f>
        <v>257820200819234114868</v>
      </c>
      <c r="B112" s="5" t="s">
        <v>9</v>
      </c>
      <c r="C112" s="5" t="s">
        <v>121</v>
      </c>
      <c r="D112" s="5" t="str">
        <f>"236000011315"</f>
        <v>236000011315</v>
      </c>
      <c r="E112" s="7">
        <v>66.5</v>
      </c>
      <c r="F112" s="7">
        <v>64</v>
      </c>
      <c r="G112" s="7">
        <f t="shared" si="2"/>
        <v>78</v>
      </c>
      <c r="H112" s="6" t="s">
        <v>11</v>
      </c>
    </row>
    <row r="113" customHeight="1" spans="1:8">
      <c r="A113" s="5" t="str">
        <f>"257820200819091955122"</f>
        <v>257820200819091955122</v>
      </c>
      <c r="B113" s="5" t="s">
        <v>9</v>
      </c>
      <c r="C113" s="5" t="s">
        <v>122</v>
      </c>
      <c r="D113" s="5" t="str">
        <f>"236000012320"</f>
        <v>236000012320</v>
      </c>
      <c r="E113" s="7">
        <v>57.5</v>
      </c>
      <c r="F113" s="7">
        <v>70</v>
      </c>
      <c r="G113" s="7">
        <f t="shared" si="2"/>
        <v>78</v>
      </c>
      <c r="H113" s="6" t="s">
        <v>11</v>
      </c>
    </row>
    <row r="114" customHeight="1" spans="1:8">
      <c r="A114" s="5" t="str">
        <f>"257820200819095145226"</f>
        <v>257820200819095145226</v>
      </c>
      <c r="B114" s="5" t="s">
        <v>9</v>
      </c>
      <c r="C114" s="5" t="s">
        <v>123</v>
      </c>
      <c r="D114" s="5" t="str">
        <f>"236000011426"</f>
        <v>236000011426</v>
      </c>
      <c r="E114" s="7">
        <v>64</v>
      </c>
      <c r="F114" s="7">
        <v>65.5</v>
      </c>
      <c r="G114" s="7">
        <f t="shared" si="2"/>
        <v>77.88</v>
      </c>
      <c r="H114" s="6" t="s">
        <v>13</v>
      </c>
    </row>
    <row r="115" customHeight="1" spans="1:8">
      <c r="A115" s="5" t="str">
        <f>"257820200820091918921"</f>
        <v>257820200820091918921</v>
      </c>
      <c r="B115" s="5" t="s">
        <v>9</v>
      </c>
      <c r="C115" s="5" t="s">
        <v>124</v>
      </c>
      <c r="D115" s="5" t="str">
        <f>"236000011816"</f>
        <v>236000011816</v>
      </c>
      <c r="E115" s="7">
        <v>62.5</v>
      </c>
      <c r="F115" s="7">
        <v>66.5</v>
      </c>
      <c r="G115" s="7">
        <f t="shared" si="2"/>
        <v>77.88</v>
      </c>
      <c r="H115" s="6" t="s">
        <v>13</v>
      </c>
    </row>
    <row r="116" customHeight="1" spans="1:8">
      <c r="A116" s="5" t="str">
        <f>"257820200819100401259"</f>
        <v>257820200819100401259</v>
      </c>
      <c r="B116" s="5" t="s">
        <v>9</v>
      </c>
      <c r="C116" s="5" t="s">
        <v>125</v>
      </c>
      <c r="D116" s="5" t="str">
        <f>"236000012020"</f>
        <v>236000012020</v>
      </c>
      <c r="E116" s="7">
        <v>74.5</v>
      </c>
      <c r="F116" s="7">
        <v>58.5</v>
      </c>
      <c r="G116" s="7">
        <f t="shared" si="2"/>
        <v>77.88</v>
      </c>
      <c r="H116" s="6" t="s">
        <v>11</v>
      </c>
    </row>
    <row r="117" customHeight="1" spans="1:8">
      <c r="A117" s="5" t="str">
        <f>"257820200819120702469"</f>
        <v>257820200819120702469</v>
      </c>
      <c r="B117" s="5" t="s">
        <v>9</v>
      </c>
      <c r="C117" s="5" t="s">
        <v>126</v>
      </c>
      <c r="D117" s="5" t="str">
        <f>"236000012411"</f>
        <v>236000012411</v>
      </c>
      <c r="E117" s="7">
        <v>61</v>
      </c>
      <c r="F117" s="7">
        <v>67.5</v>
      </c>
      <c r="G117" s="7">
        <f t="shared" si="2"/>
        <v>77.88</v>
      </c>
      <c r="H117" s="6" t="s">
        <v>13</v>
      </c>
    </row>
    <row r="118" customHeight="1" spans="1:8">
      <c r="A118" s="5" t="str">
        <f>"257820200819142007585"</f>
        <v>257820200819142007585</v>
      </c>
      <c r="B118" s="5" t="s">
        <v>9</v>
      </c>
      <c r="C118" s="5" t="s">
        <v>127</v>
      </c>
      <c r="D118" s="5" t="str">
        <f>"236000010902"</f>
        <v>236000010902</v>
      </c>
      <c r="E118" s="7">
        <v>60</v>
      </c>
      <c r="F118" s="7">
        <v>68</v>
      </c>
      <c r="G118" s="7">
        <f t="shared" si="2"/>
        <v>77.76</v>
      </c>
      <c r="H118" s="6" t="s">
        <v>13</v>
      </c>
    </row>
    <row r="119" customHeight="1" spans="1:8">
      <c r="A119" s="5" t="str">
        <f>"257820200819163840661"</f>
        <v>257820200819163840661</v>
      </c>
      <c r="B119" s="5" t="s">
        <v>9</v>
      </c>
      <c r="C119" s="5" t="s">
        <v>128</v>
      </c>
      <c r="D119" s="5" t="str">
        <f>"236000012324"</f>
        <v>236000012324</v>
      </c>
      <c r="E119" s="7">
        <v>64.5</v>
      </c>
      <c r="F119" s="7">
        <v>65</v>
      </c>
      <c r="G119" s="7">
        <f t="shared" si="2"/>
        <v>77.76</v>
      </c>
      <c r="H119" s="6" t="s">
        <v>13</v>
      </c>
    </row>
    <row r="120" customHeight="1" spans="1:8">
      <c r="A120" s="5" t="str">
        <f>"257820200819092803153"</f>
        <v>257820200819092803153</v>
      </c>
      <c r="B120" s="5" t="s">
        <v>9</v>
      </c>
      <c r="C120" s="5" t="s">
        <v>129</v>
      </c>
      <c r="D120" s="5" t="str">
        <f>"236000010413"</f>
        <v>236000010413</v>
      </c>
      <c r="E120" s="7">
        <v>59</v>
      </c>
      <c r="F120" s="7">
        <v>68.5</v>
      </c>
      <c r="G120" s="7">
        <f t="shared" si="2"/>
        <v>77.64</v>
      </c>
      <c r="H120" s="6" t="s">
        <v>13</v>
      </c>
    </row>
    <row r="121" customHeight="1" spans="1:8">
      <c r="A121" s="5" t="str">
        <f>"257820200819092835155"</f>
        <v>257820200819092835155</v>
      </c>
      <c r="B121" s="5" t="s">
        <v>9</v>
      </c>
      <c r="C121" s="5" t="s">
        <v>130</v>
      </c>
      <c r="D121" s="5" t="str">
        <f>"236000010711"</f>
        <v>236000010711</v>
      </c>
      <c r="E121" s="7">
        <v>60.5</v>
      </c>
      <c r="F121" s="7">
        <v>67.5</v>
      </c>
      <c r="G121" s="7">
        <f t="shared" si="2"/>
        <v>77.64</v>
      </c>
      <c r="H121" s="6" t="s">
        <v>13</v>
      </c>
    </row>
    <row r="122" customHeight="1" spans="1:8">
      <c r="A122" s="5" t="str">
        <f>"2578202008211120481332"</f>
        <v>2578202008211120481332</v>
      </c>
      <c r="B122" s="5" t="s">
        <v>9</v>
      </c>
      <c r="C122" s="5" t="s">
        <v>131</v>
      </c>
      <c r="D122" s="5" t="str">
        <f>"236000012322"</f>
        <v>236000012322</v>
      </c>
      <c r="E122" s="7">
        <v>62</v>
      </c>
      <c r="F122" s="7">
        <v>66.5</v>
      </c>
      <c r="G122" s="7">
        <f t="shared" si="2"/>
        <v>77.64</v>
      </c>
      <c r="H122" s="6" t="s">
        <v>13</v>
      </c>
    </row>
    <row r="123" customHeight="1" spans="1:8">
      <c r="A123" s="5" t="str">
        <f>"2578202008210259261254"</f>
        <v>2578202008210259261254</v>
      </c>
      <c r="B123" s="5" t="s">
        <v>9</v>
      </c>
      <c r="C123" s="5" t="s">
        <v>132</v>
      </c>
      <c r="D123" s="5" t="str">
        <f>"236000010720"</f>
        <v>236000010720</v>
      </c>
      <c r="E123" s="7">
        <v>64</v>
      </c>
      <c r="F123" s="7">
        <v>65</v>
      </c>
      <c r="G123" s="7">
        <f t="shared" si="2"/>
        <v>77.52</v>
      </c>
      <c r="H123" s="6" t="s">
        <v>13</v>
      </c>
    </row>
    <row r="124" customHeight="1" spans="1:8">
      <c r="A124" s="5" t="str">
        <f>"257820200819134217555"</f>
        <v>257820200819134217555</v>
      </c>
      <c r="B124" s="5" t="s">
        <v>9</v>
      </c>
      <c r="C124" s="5" t="s">
        <v>133</v>
      </c>
      <c r="D124" s="5" t="str">
        <f>"236000011130"</f>
        <v>236000011130</v>
      </c>
      <c r="E124" s="7">
        <v>58</v>
      </c>
      <c r="F124" s="7">
        <v>69</v>
      </c>
      <c r="G124" s="7">
        <f t="shared" si="2"/>
        <v>77.52</v>
      </c>
      <c r="H124" s="6" t="s">
        <v>11</v>
      </c>
    </row>
    <row r="125" customHeight="1" spans="1:8">
      <c r="A125" s="5" t="str">
        <f>"2578202008190901026"</f>
        <v>2578202008190901026</v>
      </c>
      <c r="B125" s="5" t="s">
        <v>9</v>
      </c>
      <c r="C125" s="5" t="s">
        <v>134</v>
      </c>
      <c r="D125" s="5" t="str">
        <f>"236000012106"</f>
        <v>236000012106</v>
      </c>
      <c r="E125" s="7">
        <v>61</v>
      </c>
      <c r="F125" s="7">
        <v>67</v>
      </c>
      <c r="G125" s="7">
        <f t="shared" si="2"/>
        <v>77.52</v>
      </c>
      <c r="H125" s="6" t="s">
        <v>11</v>
      </c>
    </row>
    <row r="126" customHeight="1" spans="1:8">
      <c r="A126" s="5" t="str">
        <f>"2578202008202146101226"</f>
        <v>2578202008202146101226</v>
      </c>
      <c r="B126" s="5" t="s">
        <v>9</v>
      </c>
      <c r="C126" s="5" t="s">
        <v>135</v>
      </c>
      <c r="D126" s="5" t="str">
        <f>"236000012309"</f>
        <v>236000012309</v>
      </c>
      <c r="E126" s="7">
        <v>62.5</v>
      </c>
      <c r="F126" s="7">
        <v>66</v>
      </c>
      <c r="G126" s="7">
        <f t="shared" si="2"/>
        <v>77.52</v>
      </c>
      <c r="H126" s="6" t="s">
        <v>13</v>
      </c>
    </row>
    <row r="127" customHeight="1" spans="1:8">
      <c r="A127" s="5" t="str">
        <f>"257820200819135452567"</f>
        <v>257820200819135452567</v>
      </c>
      <c r="B127" s="5" t="s">
        <v>9</v>
      </c>
      <c r="C127" s="5" t="s">
        <v>136</v>
      </c>
      <c r="D127" s="5" t="str">
        <f>"236000010314"</f>
        <v>236000010314</v>
      </c>
      <c r="E127" s="7">
        <v>67.5</v>
      </c>
      <c r="F127" s="7">
        <v>62.5</v>
      </c>
      <c r="G127" s="7">
        <f t="shared" si="2"/>
        <v>77.4</v>
      </c>
      <c r="H127" s="6" t="s">
        <v>13</v>
      </c>
    </row>
    <row r="128" customHeight="1" spans="1:8">
      <c r="A128" s="5" t="str">
        <f>"257820200819115428454"</f>
        <v>257820200819115428454</v>
      </c>
      <c r="B128" s="5" t="s">
        <v>9</v>
      </c>
      <c r="C128" s="5" t="s">
        <v>137</v>
      </c>
      <c r="D128" s="5" t="str">
        <f>"236000010424"</f>
        <v>236000010424</v>
      </c>
      <c r="E128" s="7">
        <v>63</v>
      </c>
      <c r="F128" s="7">
        <v>65.5</v>
      </c>
      <c r="G128" s="7">
        <f t="shared" si="2"/>
        <v>77.4</v>
      </c>
      <c r="H128" s="6" t="s">
        <v>13</v>
      </c>
    </row>
    <row r="129" customHeight="1" spans="1:8">
      <c r="A129" s="5" t="str">
        <f>"25782020081909134395"</f>
        <v>25782020081909134395</v>
      </c>
      <c r="B129" s="5" t="s">
        <v>9</v>
      </c>
      <c r="C129" s="5" t="s">
        <v>138</v>
      </c>
      <c r="D129" s="5" t="str">
        <f>"236000011513"</f>
        <v>236000011513</v>
      </c>
      <c r="E129" s="7">
        <v>60</v>
      </c>
      <c r="F129" s="7">
        <v>67.5</v>
      </c>
      <c r="G129" s="7">
        <f t="shared" si="2"/>
        <v>77.4</v>
      </c>
      <c r="H129" s="6" t="s">
        <v>11</v>
      </c>
    </row>
    <row r="130" customHeight="1" spans="1:8">
      <c r="A130" s="5" t="str">
        <f>"257820200819094011196"</f>
        <v>257820200819094011196</v>
      </c>
      <c r="B130" s="5" t="s">
        <v>9</v>
      </c>
      <c r="C130" s="5" t="s">
        <v>139</v>
      </c>
      <c r="D130" s="5" t="str">
        <f>"236000010704"</f>
        <v>236000010704</v>
      </c>
      <c r="E130" s="7">
        <v>65</v>
      </c>
      <c r="F130" s="7">
        <v>64</v>
      </c>
      <c r="G130" s="7">
        <f t="shared" si="2"/>
        <v>77.28</v>
      </c>
      <c r="H130" s="6" t="s">
        <v>13</v>
      </c>
    </row>
    <row r="131" customHeight="1" spans="1:8">
      <c r="A131" s="5" t="str">
        <f>"257820200819095643240"</f>
        <v>257820200819095643240</v>
      </c>
      <c r="B131" s="5" t="s">
        <v>9</v>
      </c>
      <c r="C131" s="5" t="s">
        <v>140</v>
      </c>
      <c r="D131" s="5" t="str">
        <f>"236000011407"</f>
        <v>236000011407</v>
      </c>
      <c r="E131" s="7">
        <v>54.5</v>
      </c>
      <c r="F131" s="7">
        <v>71</v>
      </c>
      <c r="G131" s="7">
        <f t="shared" si="2"/>
        <v>77.28</v>
      </c>
      <c r="H131" s="6" t="s">
        <v>13</v>
      </c>
    </row>
    <row r="132" customHeight="1" spans="1:8">
      <c r="A132" s="5" t="str">
        <f>"257820200819094402211"</f>
        <v>257820200819094402211</v>
      </c>
      <c r="B132" s="5" t="s">
        <v>9</v>
      </c>
      <c r="C132" s="5" t="s">
        <v>141</v>
      </c>
      <c r="D132" s="5" t="str">
        <f>"236000011509"</f>
        <v>236000011509</v>
      </c>
      <c r="E132" s="7">
        <v>57.5</v>
      </c>
      <c r="F132" s="7">
        <v>69</v>
      </c>
      <c r="G132" s="7">
        <f t="shared" si="2"/>
        <v>77.28</v>
      </c>
      <c r="H132" s="6" t="s">
        <v>11</v>
      </c>
    </row>
    <row r="133" customHeight="1" spans="1:8">
      <c r="A133" s="5" t="str">
        <f>"25782020081909141299"</f>
        <v>25782020081909141299</v>
      </c>
      <c r="B133" s="5" t="s">
        <v>9</v>
      </c>
      <c r="C133" s="5" t="s">
        <v>142</v>
      </c>
      <c r="D133" s="5" t="str">
        <f>"236000011825"</f>
        <v>236000011825</v>
      </c>
      <c r="E133" s="7">
        <v>62</v>
      </c>
      <c r="F133" s="7">
        <v>66</v>
      </c>
      <c r="G133" s="7">
        <f t="shared" si="2"/>
        <v>77.28</v>
      </c>
      <c r="H133" s="6" t="s">
        <v>13</v>
      </c>
    </row>
    <row r="134" customHeight="1" spans="1:8">
      <c r="A134" s="5" t="str">
        <f>"257820200819164641668"</f>
        <v>257820200819164641668</v>
      </c>
      <c r="B134" s="5" t="s">
        <v>9</v>
      </c>
      <c r="C134" s="5" t="s">
        <v>143</v>
      </c>
      <c r="D134" s="5" t="str">
        <f>"236000011227"</f>
        <v>236000011227</v>
      </c>
      <c r="E134" s="7">
        <v>65.5</v>
      </c>
      <c r="F134" s="7">
        <v>63.5</v>
      </c>
      <c r="G134" s="7">
        <f t="shared" si="2"/>
        <v>77.16</v>
      </c>
      <c r="H134" s="6" t="s">
        <v>11</v>
      </c>
    </row>
    <row r="135" customHeight="1" spans="1:8">
      <c r="A135" s="5" t="str">
        <f>"257820200820095722941"</f>
        <v>257820200820095722941</v>
      </c>
      <c r="B135" s="5" t="s">
        <v>9</v>
      </c>
      <c r="C135" s="5" t="s">
        <v>144</v>
      </c>
      <c r="D135" s="5" t="str">
        <f>"236000010722"</f>
        <v>236000010722</v>
      </c>
      <c r="E135" s="7">
        <v>58.5</v>
      </c>
      <c r="F135" s="7">
        <v>68</v>
      </c>
      <c r="G135" s="7">
        <f t="shared" si="2"/>
        <v>77.04</v>
      </c>
      <c r="H135" s="6" t="s">
        <v>11</v>
      </c>
    </row>
    <row r="136" customHeight="1" spans="1:8">
      <c r="A136" s="5" t="str">
        <f>"257820200820092609924"</f>
        <v>257820200820092609924</v>
      </c>
      <c r="B136" s="5" t="s">
        <v>9</v>
      </c>
      <c r="C136" s="5" t="s">
        <v>145</v>
      </c>
      <c r="D136" s="5" t="str">
        <f>"236000011220"</f>
        <v>236000011220</v>
      </c>
      <c r="E136" s="7">
        <v>61.5</v>
      </c>
      <c r="F136" s="7">
        <v>66</v>
      </c>
      <c r="G136" s="7">
        <f t="shared" si="2"/>
        <v>77.04</v>
      </c>
      <c r="H136" s="6" t="s">
        <v>13</v>
      </c>
    </row>
    <row r="137" customHeight="1" spans="1:8">
      <c r="A137" s="5" t="str">
        <f>"2578202008211245571365"</f>
        <v>2578202008211245571365</v>
      </c>
      <c r="B137" s="5" t="s">
        <v>9</v>
      </c>
      <c r="C137" s="5" t="s">
        <v>146</v>
      </c>
      <c r="D137" s="5" t="str">
        <f>"236000012021"</f>
        <v>236000012021</v>
      </c>
      <c r="E137" s="7">
        <v>58.5</v>
      </c>
      <c r="F137" s="7">
        <v>68</v>
      </c>
      <c r="G137" s="7">
        <f t="shared" si="2"/>
        <v>77.04</v>
      </c>
      <c r="H137" s="6" t="s">
        <v>11</v>
      </c>
    </row>
    <row r="138" customHeight="1" spans="1:8">
      <c r="A138" s="5" t="str">
        <f>"257820200819213140833"</f>
        <v>257820200819213140833</v>
      </c>
      <c r="B138" s="5" t="s">
        <v>9</v>
      </c>
      <c r="C138" s="5" t="s">
        <v>147</v>
      </c>
      <c r="D138" s="5" t="str">
        <f>"236000010316"</f>
        <v>236000010316</v>
      </c>
      <c r="E138" s="7">
        <v>65.5</v>
      </c>
      <c r="F138" s="7">
        <v>63</v>
      </c>
      <c r="G138" s="7">
        <f t="shared" si="2"/>
        <v>76.8</v>
      </c>
      <c r="H138" s="6" t="s">
        <v>11</v>
      </c>
    </row>
    <row r="139" customHeight="1" spans="1:8">
      <c r="A139" s="5" t="str">
        <f>"257820200819093947193"</f>
        <v>257820200819093947193</v>
      </c>
      <c r="B139" s="5" t="s">
        <v>9</v>
      </c>
      <c r="C139" s="5" t="s">
        <v>148</v>
      </c>
      <c r="D139" s="5" t="str">
        <f>"236000010318"</f>
        <v>236000010318</v>
      </c>
      <c r="E139" s="7">
        <v>64</v>
      </c>
      <c r="F139" s="7">
        <v>64</v>
      </c>
      <c r="G139" s="7">
        <f t="shared" si="2"/>
        <v>76.8</v>
      </c>
      <c r="H139" s="6" t="s">
        <v>11</v>
      </c>
    </row>
    <row r="140" customHeight="1" spans="1:8">
      <c r="A140" s="5" t="str">
        <f>"257820200819124014499"</f>
        <v>257820200819124014499</v>
      </c>
      <c r="B140" s="5" t="s">
        <v>9</v>
      </c>
      <c r="C140" s="5" t="s">
        <v>149</v>
      </c>
      <c r="D140" s="5" t="str">
        <f>"236000012401"</f>
        <v>236000012401</v>
      </c>
      <c r="E140" s="7">
        <v>58</v>
      </c>
      <c r="F140" s="7">
        <v>68</v>
      </c>
      <c r="G140" s="7">
        <f t="shared" si="2"/>
        <v>76.8</v>
      </c>
      <c r="H140" s="6" t="s">
        <v>13</v>
      </c>
    </row>
    <row r="141" customHeight="1" spans="1:8">
      <c r="A141" s="5" t="str">
        <f>"2578202008210845161277"</f>
        <v>2578202008210845161277</v>
      </c>
      <c r="B141" s="5" t="s">
        <v>9</v>
      </c>
      <c r="C141" s="5" t="s">
        <v>150</v>
      </c>
      <c r="D141" s="5" t="str">
        <f>"236000012422"</f>
        <v>236000012422</v>
      </c>
      <c r="E141" s="7">
        <v>55</v>
      </c>
      <c r="F141" s="7">
        <v>70</v>
      </c>
      <c r="G141" s="7">
        <f t="shared" si="2"/>
        <v>76.8</v>
      </c>
      <c r="H141" s="6" t="s">
        <v>13</v>
      </c>
    </row>
    <row r="142" customHeight="1" spans="1:8">
      <c r="A142" s="5" t="str">
        <f>"257820200819200620781"</f>
        <v>257820200819200620781</v>
      </c>
      <c r="B142" s="5" t="s">
        <v>9</v>
      </c>
      <c r="C142" s="5" t="s">
        <v>151</v>
      </c>
      <c r="D142" s="5" t="str">
        <f>"236000010903"</f>
        <v>236000010903</v>
      </c>
      <c r="E142" s="7">
        <v>57</v>
      </c>
      <c r="F142" s="7">
        <v>68.5</v>
      </c>
      <c r="G142" s="7">
        <f t="shared" si="2"/>
        <v>76.68</v>
      </c>
      <c r="H142" s="6" t="s">
        <v>13</v>
      </c>
    </row>
    <row r="143" customHeight="1" spans="1:8">
      <c r="A143" s="5" t="str">
        <f>"257820200819153816618"</f>
        <v>257820200819153816618</v>
      </c>
      <c r="B143" s="5" t="s">
        <v>9</v>
      </c>
      <c r="C143" s="5" t="s">
        <v>152</v>
      </c>
      <c r="D143" s="5" t="str">
        <f>"236000012310"</f>
        <v>236000012310</v>
      </c>
      <c r="E143" s="7">
        <v>64.5</v>
      </c>
      <c r="F143" s="7">
        <v>63.5</v>
      </c>
      <c r="G143" s="7">
        <f t="shared" si="2"/>
        <v>76.68</v>
      </c>
      <c r="H143" s="6" t="s">
        <v>11</v>
      </c>
    </row>
    <row r="144" customHeight="1" spans="1:8">
      <c r="A144" s="5" t="str">
        <f>"257820200820103329966"</f>
        <v>257820200820103329966</v>
      </c>
      <c r="B144" s="5" t="s">
        <v>9</v>
      </c>
      <c r="C144" s="5" t="s">
        <v>153</v>
      </c>
      <c r="D144" s="5" t="str">
        <f>"236000012019"</f>
        <v>236000012019</v>
      </c>
      <c r="E144" s="7">
        <v>60.5</v>
      </c>
      <c r="F144" s="7">
        <v>66</v>
      </c>
      <c r="G144" s="7">
        <f t="shared" ref="G144:G194" si="3">E144*1.2*0.4+F144*1.2*0.6</f>
        <v>76.56</v>
      </c>
      <c r="H144" s="6" t="s">
        <v>13</v>
      </c>
    </row>
    <row r="145" customHeight="1" spans="1:8">
      <c r="A145" s="5" t="str">
        <f>"257820200819145602604"</f>
        <v>257820200819145602604</v>
      </c>
      <c r="B145" s="5" t="s">
        <v>9</v>
      </c>
      <c r="C145" s="5" t="s">
        <v>154</v>
      </c>
      <c r="D145" s="5" t="str">
        <f>"236000010120"</f>
        <v>236000010120</v>
      </c>
      <c r="E145" s="7">
        <v>57.5</v>
      </c>
      <c r="F145" s="7">
        <v>68</v>
      </c>
      <c r="G145" s="7">
        <f t="shared" si="3"/>
        <v>76.56</v>
      </c>
      <c r="H145" s="6" t="s">
        <v>13</v>
      </c>
    </row>
    <row r="146" customHeight="1" spans="1:8">
      <c r="A146" s="5" t="str">
        <f>"257820200819155848634"</f>
        <v>257820200819155848634</v>
      </c>
      <c r="B146" s="5" t="s">
        <v>9</v>
      </c>
      <c r="C146" s="5" t="s">
        <v>155</v>
      </c>
      <c r="D146" s="5" t="str">
        <f>"236000010216"</f>
        <v>236000010216</v>
      </c>
      <c r="E146" s="7">
        <v>62</v>
      </c>
      <c r="F146" s="7">
        <v>65</v>
      </c>
      <c r="G146" s="7">
        <f t="shared" si="3"/>
        <v>76.56</v>
      </c>
      <c r="H146" s="6" t="s">
        <v>13</v>
      </c>
    </row>
    <row r="147" customHeight="1" spans="1:8">
      <c r="A147" s="5" t="str">
        <f>"2578202008201953051185"</f>
        <v>2578202008201953051185</v>
      </c>
      <c r="B147" s="5" t="s">
        <v>9</v>
      </c>
      <c r="C147" s="5" t="s">
        <v>156</v>
      </c>
      <c r="D147" s="5" t="str">
        <f>"236000011123"</f>
        <v>236000011123</v>
      </c>
      <c r="E147" s="7">
        <v>59</v>
      </c>
      <c r="F147" s="7">
        <v>67</v>
      </c>
      <c r="G147" s="7">
        <f t="shared" si="3"/>
        <v>76.56</v>
      </c>
      <c r="H147" s="6" t="s">
        <v>11</v>
      </c>
    </row>
    <row r="148" customHeight="1" spans="1:8">
      <c r="A148" s="5" t="str">
        <f>"257820200819143659593"</f>
        <v>257820200819143659593</v>
      </c>
      <c r="B148" s="5" t="s">
        <v>9</v>
      </c>
      <c r="C148" s="5" t="s">
        <v>157</v>
      </c>
      <c r="D148" s="5" t="str">
        <f>"236000011510"</f>
        <v>236000011510</v>
      </c>
      <c r="E148" s="7">
        <v>56</v>
      </c>
      <c r="F148" s="7">
        <v>69</v>
      </c>
      <c r="G148" s="7">
        <f t="shared" si="3"/>
        <v>76.56</v>
      </c>
      <c r="H148" s="6" t="s">
        <v>13</v>
      </c>
    </row>
    <row r="149" customHeight="1" spans="1:8">
      <c r="A149" s="5" t="str">
        <f>"257820200820112245997"</f>
        <v>257820200820112245997</v>
      </c>
      <c r="B149" s="5" t="s">
        <v>9</v>
      </c>
      <c r="C149" s="5" t="s">
        <v>158</v>
      </c>
      <c r="D149" s="5" t="str">
        <f>"236000011813"</f>
        <v>236000011813</v>
      </c>
      <c r="E149" s="7">
        <v>63.5</v>
      </c>
      <c r="F149" s="7">
        <v>64</v>
      </c>
      <c r="G149" s="7">
        <f t="shared" si="3"/>
        <v>76.56</v>
      </c>
      <c r="H149" s="6" t="s">
        <v>13</v>
      </c>
    </row>
    <row r="150" customHeight="1" spans="1:8">
      <c r="A150" s="5" t="str">
        <f>"257820200819113838439"</f>
        <v>257820200819113838439</v>
      </c>
      <c r="B150" s="5" t="s">
        <v>9</v>
      </c>
      <c r="C150" s="5" t="s">
        <v>159</v>
      </c>
      <c r="D150" s="5" t="str">
        <f>"236000010408"</f>
        <v>236000010408</v>
      </c>
      <c r="E150" s="7">
        <v>64</v>
      </c>
      <c r="F150" s="7">
        <v>63.5</v>
      </c>
      <c r="G150" s="7">
        <f t="shared" si="3"/>
        <v>76.44</v>
      </c>
      <c r="H150" s="6" t="s">
        <v>13</v>
      </c>
    </row>
    <row r="151" customHeight="1" spans="1:8">
      <c r="A151" s="5" t="str">
        <f>"257820200819102845318"</f>
        <v>257820200819102845318</v>
      </c>
      <c r="B151" s="5" t="s">
        <v>9</v>
      </c>
      <c r="C151" s="5" t="s">
        <v>160</v>
      </c>
      <c r="D151" s="5" t="str">
        <f>"236000010624"</f>
        <v>236000010624</v>
      </c>
      <c r="E151" s="7">
        <v>65.5</v>
      </c>
      <c r="F151" s="7">
        <v>62.5</v>
      </c>
      <c r="G151" s="7">
        <f t="shared" si="3"/>
        <v>76.44</v>
      </c>
      <c r="H151" s="6" t="s">
        <v>11</v>
      </c>
    </row>
    <row r="152" customHeight="1" spans="1:8">
      <c r="A152" s="5" t="str">
        <f>"257820200819184519724"</f>
        <v>257820200819184519724</v>
      </c>
      <c r="B152" s="5" t="s">
        <v>9</v>
      </c>
      <c r="C152" s="5" t="s">
        <v>161</v>
      </c>
      <c r="D152" s="5" t="str">
        <f>"236000010907"</f>
        <v>236000010907</v>
      </c>
      <c r="E152" s="7">
        <v>58</v>
      </c>
      <c r="F152" s="7">
        <v>67.5</v>
      </c>
      <c r="G152" s="7">
        <f t="shared" si="3"/>
        <v>76.44</v>
      </c>
      <c r="H152" s="6" t="s">
        <v>11</v>
      </c>
    </row>
    <row r="153" customHeight="1" spans="1:8">
      <c r="A153" s="5" t="str">
        <f>"257820200819155008629"</f>
        <v>257820200819155008629</v>
      </c>
      <c r="B153" s="5" t="s">
        <v>9</v>
      </c>
      <c r="C153" s="5" t="s">
        <v>162</v>
      </c>
      <c r="D153" s="5" t="str">
        <f>"236000012013"</f>
        <v>236000012013</v>
      </c>
      <c r="E153" s="7">
        <v>58</v>
      </c>
      <c r="F153" s="7">
        <v>67.5</v>
      </c>
      <c r="G153" s="7">
        <f t="shared" si="3"/>
        <v>76.44</v>
      </c>
      <c r="H153" s="6" t="s">
        <v>11</v>
      </c>
    </row>
    <row r="154" customHeight="1" spans="1:8">
      <c r="A154" s="5" t="str">
        <f>"2578202008201701161130"</f>
        <v>2578202008201701161130</v>
      </c>
      <c r="B154" s="5" t="s">
        <v>9</v>
      </c>
      <c r="C154" s="5" t="s">
        <v>163</v>
      </c>
      <c r="D154" s="5" t="str">
        <f>"236000010320"</f>
        <v>236000010320</v>
      </c>
      <c r="E154" s="7">
        <v>52.5</v>
      </c>
      <c r="F154" s="7">
        <v>71</v>
      </c>
      <c r="G154" s="7">
        <f t="shared" si="3"/>
        <v>76.32</v>
      </c>
      <c r="H154" s="6" t="s">
        <v>13</v>
      </c>
    </row>
    <row r="155" customHeight="1" spans="1:8">
      <c r="A155" s="5" t="str">
        <f>"257820200819122819491"</f>
        <v>257820200819122819491</v>
      </c>
      <c r="B155" s="5" t="s">
        <v>9</v>
      </c>
      <c r="C155" s="5" t="s">
        <v>164</v>
      </c>
      <c r="D155" s="5" t="str">
        <f>"236000011104"</f>
        <v>236000011104</v>
      </c>
      <c r="E155" s="7">
        <v>65</v>
      </c>
      <c r="F155" s="7">
        <v>62.5</v>
      </c>
      <c r="G155" s="7">
        <f t="shared" si="3"/>
        <v>76.2</v>
      </c>
      <c r="H155" s="6" t="s">
        <v>13</v>
      </c>
    </row>
    <row r="156" customHeight="1" spans="1:8">
      <c r="A156" s="5" t="str">
        <f>"2578202008211333191376"</f>
        <v>2578202008211333191376</v>
      </c>
      <c r="B156" s="5" t="s">
        <v>9</v>
      </c>
      <c r="C156" s="5" t="s">
        <v>165</v>
      </c>
      <c r="D156" s="5" t="str">
        <f>"236000011912"</f>
        <v>236000011912</v>
      </c>
      <c r="E156" s="7">
        <v>59</v>
      </c>
      <c r="F156" s="7">
        <v>66.5</v>
      </c>
      <c r="G156" s="7">
        <f t="shared" si="3"/>
        <v>76.2</v>
      </c>
      <c r="H156" s="6" t="s">
        <v>13</v>
      </c>
    </row>
    <row r="157" customHeight="1" spans="1:8">
      <c r="A157" s="5" t="str">
        <f>"2578202008211201101342"</f>
        <v>2578202008211201101342</v>
      </c>
      <c r="B157" s="5" t="s">
        <v>9</v>
      </c>
      <c r="C157" s="5" t="s">
        <v>166</v>
      </c>
      <c r="D157" s="5" t="str">
        <f>"236000012030"</f>
        <v>236000012030</v>
      </c>
      <c r="E157" s="7">
        <v>59</v>
      </c>
      <c r="F157" s="7">
        <v>66.5</v>
      </c>
      <c r="G157" s="7">
        <f t="shared" si="3"/>
        <v>76.2</v>
      </c>
      <c r="H157" s="6" t="s">
        <v>11</v>
      </c>
    </row>
    <row r="158" customHeight="1" spans="1:8">
      <c r="A158" s="5" t="str">
        <f>"2578202008201503081078"</f>
        <v>2578202008201503081078</v>
      </c>
      <c r="B158" s="5" t="s">
        <v>9</v>
      </c>
      <c r="C158" s="5" t="s">
        <v>167</v>
      </c>
      <c r="D158" s="5" t="str">
        <f>"236000011330"</f>
        <v>236000011330</v>
      </c>
      <c r="E158" s="7">
        <v>58</v>
      </c>
      <c r="F158" s="7">
        <v>67</v>
      </c>
      <c r="G158" s="7">
        <f t="shared" si="3"/>
        <v>76.08</v>
      </c>
      <c r="H158" s="6" t="s">
        <v>13</v>
      </c>
    </row>
    <row r="159" customHeight="1" spans="1:8">
      <c r="A159" s="5" t="str">
        <f>"2578202008210922431285"</f>
        <v>2578202008210922431285</v>
      </c>
      <c r="B159" s="5" t="s">
        <v>9</v>
      </c>
      <c r="C159" s="5" t="s">
        <v>168</v>
      </c>
      <c r="D159" s="5" t="str">
        <f>"236000011003"</f>
        <v>236000011003</v>
      </c>
      <c r="E159" s="7">
        <v>63</v>
      </c>
      <c r="F159" s="7">
        <v>63.5</v>
      </c>
      <c r="G159" s="7">
        <f t="shared" si="3"/>
        <v>75.96</v>
      </c>
      <c r="H159" s="6" t="s">
        <v>11</v>
      </c>
    </row>
    <row r="160" customHeight="1" spans="1:8">
      <c r="A160" s="5" t="str">
        <f>"2578202008211657301423"</f>
        <v>2578202008211657301423</v>
      </c>
      <c r="B160" s="5" t="s">
        <v>9</v>
      </c>
      <c r="C160" s="5" t="s">
        <v>169</v>
      </c>
      <c r="D160" s="5" t="str">
        <f>"236000011424"</f>
        <v>236000011424</v>
      </c>
      <c r="E160" s="7">
        <v>57</v>
      </c>
      <c r="F160" s="7">
        <v>67.5</v>
      </c>
      <c r="G160" s="7">
        <f t="shared" si="3"/>
        <v>75.96</v>
      </c>
      <c r="H160" s="6" t="s">
        <v>11</v>
      </c>
    </row>
    <row r="161" customHeight="1" spans="1:8">
      <c r="A161" s="5" t="str">
        <f>"257820200820105155977"</f>
        <v>257820200820105155977</v>
      </c>
      <c r="B161" s="5" t="s">
        <v>9</v>
      </c>
      <c r="C161" s="5" t="s">
        <v>170</v>
      </c>
      <c r="D161" s="5" t="str">
        <f>"236000010803"</f>
        <v>236000010803</v>
      </c>
      <c r="E161" s="7">
        <v>68</v>
      </c>
      <c r="F161" s="7">
        <v>60</v>
      </c>
      <c r="G161" s="7">
        <f t="shared" si="3"/>
        <v>75.84</v>
      </c>
      <c r="H161" s="6" t="s">
        <v>11</v>
      </c>
    </row>
    <row r="162" customHeight="1" spans="1:8">
      <c r="A162" s="5" t="str">
        <f>"257820200819163559659"</f>
        <v>257820200819163559659</v>
      </c>
      <c r="B162" s="5" t="s">
        <v>9</v>
      </c>
      <c r="C162" s="5" t="s">
        <v>171</v>
      </c>
      <c r="D162" s="5" t="str">
        <f>"236000011519"</f>
        <v>236000011519</v>
      </c>
      <c r="E162" s="7">
        <v>57.5</v>
      </c>
      <c r="F162" s="7">
        <v>67</v>
      </c>
      <c r="G162" s="7">
        <f t="shared" si="3"/>
        <v>75.84</v>
      </c>
      <c r="H162" s="6" t="s">
        <v>13</v>
      </c>
    </row>
    <row r="163" customHeight="1" spans="1:8">
      <c r="A163" s="5" t="str">
        <f>"2578202008211057491321"</f>
        <v>2578202008211057491321</v>
      </c>
      <c r="B163" s="5" t="s">
        <v>9</v>
      </c>
      <c r="C163" s="5" t="s">
        <v>172</v>
      </c>
      <c r="D163" s="5" t="str">
        <f>"236000012204"</f>
        <v>236000012204</v>
      </c>
      <c r="E163" s="7">
        <v>63.5</v>
      </c>
      <c r="F163" s="7">
        <v>62.5</v>
      </c>
      <c r="G163" s="7">
        <f t="shared" si="3"/>
        <v>75.48</v>
      </c>
      <c r="H163" s="6" t="s">
        <v>11</v>
      </c>
    </row>
    <row r="164" customHeight="1" spans="1:8">
      <c r="A164" s="5" t="str">
        <f>"2578202008201820461157"</f>
        <v>2578202008201820461157</v>
      </c>
      <c r="B164" s="5" t="s">
        <v>9</v>
      </c>
      <c r="C164" s="5" t="s">
        <v>173</v>
      </c>
      <c r="D164" s="5" t="str">
        <f>"236000010304"</f>
        <v>236000010304</v>
      </c>
      <c r="E164" s="7">
        <v>58</v>
      </c>
      <c r="F164" s="7">
        <v>66</v>
      </c>
      <c r="G164" s="7">
        <f t="shared" si="3"/>
        <v>75.36</v>
      </c>
      <c r="H164" s="6" t="s">
        <v>13</v>
      </c>
    </row>
    <row r="165" customHeight="1" spans="1:8">
      <c r="A165" s="5" t="str">
        <f>"257820200819092543147"</f>
        <v>257820200819092543147</v>
      </c>
      <c r="B165" s="5" t="s">
        <v>9</v>
      </c>
      <c r="C165" s="5" t="s">
        <v>174</v>
      </c>
      <c r="D165" s="5" t="str">
        <f>"236000010303"</f>
        <v>236000010303</v>
      </c>
      <c r="E165" s="7">
        <v>56.5</v>
      </c>
      <c r="F165" s="7">
        <v>67</v>
      </c>
      <c r="G165" s="7">
        <f t="shared" si="3"/>
        <v>75.36</v>
      </c>
      <c r="H165" s="6" t="s">
        <v>13</v>
      </c>
    </row>
    <row r="166" customHeight="1" spans="1:8">
      <c r="A166" s="5" t="str">
        <f>"257820200819091852117"</f>
        <v>257820200819091852117</v>
      </c>
      <c r="B166" s="5" t="s">
        <v>9</v>
      </c>
      <c r="C166" s="5" t="s">
        <v>175</v>
      </c>
      <c r="D166" s="5" t="str">
        <f>"236000011502"</f>
        <v>236000011502</v>
      </c>
      <c r="E166" s="7">
        <v>60</v>
      </c>
      <c r="F166" s="7">
        <v>64.5</v>
      </c>
      <c r="G166" s="7">
        <f t="shared" si="3"/>
        <v>75.24</v>
      </c>
      <c r="H166" s="6" t="s">
        <v>13</v>
      </c>
    </row>
    <row r="167" customHeight="1" spans="1:8">
      <c r="A167" s="5" t="str">
        <f>"257820200819172835688"</f>
        <v>257820200819172835688</v>
      </c>
      <c r="B167" s="5" t="s">
        <v>9</v>
      </c>
      <c r="C167" s="5" t="s">
        <v>176</v>
      </c>
      <c r="D167" s="5" t="str">
        <f>"236000011708"</f>
        <v>236000011708</v>
      </c>
      <c r="E167" s="7">
        <v>57.5</v>
      </c>
      <c r="F167" s="7">
        <v>66</v>
      </c>
      <c r="G167" s="7">
        <f t="shared" si="3"/>
        <v>75.12</v>
      </c>
      <c r="H167" s="6" t="s">
        <v>11</v>
      </c>
    </row>
    <row r="168" customHeight="1" spans="1:8">
      <c r="A168" s="5" t="str">
        <f>"2578202008201600511101"</f>
        <v>2578202008201600511101</v>
      </c>
      <c r="B168" s="5" t="s">
        <v>9</v>
      </c>
      <c r="C168" s="5" t="s">
        <v>177</v>
      </c>
      <c r="D168" s="5" t="str">
        <f>"236000011721"</f>
        <v>236000011721</v>
      </c>
      <c r="E168" s="7">
        <v>60.5</v>
      </c>
      <c r="F168" s="7">
        <v>64</v>
      </c>
      <c r="G168" s="7">
        <f t="shared" si="3"/>
        <v>75.12</v>
      </c>
      <c r="H168" s="6" t="s">
        <v>13</v>
      </c>
    </row>
    <row r="169" customHeight="1" spans="1:8">
      <c r="A169" s="5" t="str">
        <f>"257820200819202435791"</f>
        <v>257820200819202435791</v>
      </c>
      <c r="B169" s="5" t="s">
        <v>9</v>
      </c>
      <c r="C169" s="5" t="s">
        <v>178</v>
      </c>
      <c r="D169" s="5" t="str">
        <f>"236000010121"</f>
        <v>236000010121</v>
      </c>
      <c r="E169" s="7">
        <v>55</v>
      </c>
      <c r="F169" s="7">
        <v>67.5</v>
      </c>
      <c r="G169" s="7">
        <f t="shared" si="3"/>
        <v>75</v>
      </c>
      <c r="H169" s="6" t="s">
        <v>11</v>
      </c>
    </row>
    <row r="170" customHeight="1" spans="1:8">
      <c r="A170" s="5" t="str">
        <f>"257820200819105237373"</f>
        <v>257820200819105237373</v>
      </c>
      <c r="B170" s="5" t="s">
        <v>9</v>
      </c>
      <c r="C170" s="5" t="s">
        <v>179</v>
      </c>
      <c r="D170" s="5" t="str">
        <f>"236000010420"</f>
        <v>236000010420</v>
      </c>
      <c r="E170" s="7">
        <v>55</v>
      </c>
      <c r="F170" s="7">
        <v>67.5</v>
      </c>
      <c r="G170" s="7">
        <f t="shared" si="3"/>
        <v>75</v>
      </c>
      <c r="H170" s="6" t="s">
        <v>13</v>
      </c>
    </row>
    <row r="171" customHeight="1" spans="1:8">
      <c r="A171" s="5" t="str">
        <f>"2578202008211730471431"</f>
        <v>2578202008211730471431</v>
      </c>
      <c r="B171" s="5" t="s">
        <v>9</v>
      </c>
      <c r="C171" s="5" t="s">
        <v>180</v>
      </c>
      <c r="D171" s="5" t="str">
        <f>"236000010816"</f>
        <v>236000010816</v>
      </c>
      <c r="E171" s="7">
        <v>64</v>
      </c>
      <c r="F171" s="7">
        <v>61.5</v>
      </c>
      <c r="G171" s="7">
        <f t="shared" si="3"/>
        <v>75</v>
      </c>
      <c r="H171" s="6" t="s">
        <v>13</v>
      </c>
    </row>
    <row r="172" customHeight="1" spans="1:8">
      <c r="A172" s="5" t="str">
        <f>"2578202008212153351488"</f>
        <v>2578202008212153351488</v>
      </c>
      <c r="B172" s="5" t="s">
        <v>9</v>
      </c>
      <c r="C172" s="5" t="s">
        <v>181</v>
      </c>
      <c r="D172" s="5" t="str">
        <f>"236000011503"</f>
        <v>236000011503</v>
      </c>
      <c r="E172" s="7">
        <v>59.5</v>
      </c>
      <c r="F172" s="7">
        <v>64.5</v>
      </c>
      <c r="G172" s="7">
        <f t="shared" si="3"/>
        <v>75</v>
      </c>
      <c r="H172" s="6" t="s">
        <v>13</v>
      </c>
    </row>
    <row r="173" customHeight="1" spans="1:8">
      <c r="A173" s="5" t="str">
        <f>"257820200819115145452"</f>
        <v>257820200819115145452</v>
      </c>
      <c r="B173" s="5" t="s">
        <v>9</v>
      </c>
      <c r="C173" s="5" t="s">
        <v>182</v>
      </c>
      <c r="D173" s="5" t="str">
        <f>"236000011915"</f>
        <v>236000011915</v>
      </c>
      <c r="E173" s="7">
        <v>61.5</v>
      </c>
      <c r="F173" s="7">
        <v>63</v>
      </c>
      <c r="G173" s="7">
        <f t="shared" si="3"/>
        <v>74.88</v>
      </c>
      <c r="H173" s="6" t="s">
        <v>13</v>
      </c>
    </row>
    <row r="174" customHeight="1" spans="1:8">
      <c r="A174" s="5" t="str">
        <f>"2578202008201515541084"</f>
        <v>2578202008201515541084</v>
      </c>
      <c r="B174" s="5" t="s">
        <v>9</v>
      </c>
      <c r="C174" s="5" t="s">
        <v>183</v>
      </c>
      <c r="D174" s="5" t="str">
        <f>"236000011230"</f>
        <v>236000011230</v>
      </c>
      <c r="E174" s="7">
        <v>60.5</v>
      </c>
      <c r="F174" s="7">
        <v>63.5</v>
      </c>
      <c r="G174" s="7">
        <f t="shared" si="3"/>
        <v>74.76</v>
      </c>
      <c r="H174" s="6" t="s">
        <v>11</v>
      </c>
    </row>
    <row r="175" customHeight="1" spans="1:8">
      <c r="A175" s="5" t="str">
        <f>"257820200820003150872"</f>
        <v>257820200820003150872</v>
      </c>
      <c r="B175" s="5" t="s">
        <v>9</v>
      </c>
      <c r="C175" s="5" t="s">
        <v>184</v>
      </c>
      <c r="D175" s="5" t="str">
        <f>"236000010208"</f>
        <v>236000010208</v>
      </c>
      <c r="E175" s="7">
        <v>54.5</v>
      </c>
      <c r="F175" s="7">
        <v>67.5</v>
      </c>
      <c r="G175" s="7">
        <f t="shared" si="3"/>
        <v>74.76</v>
      </c>
      <c r="H175" s="6" t="s">
        <v>13</v>
      </c>
    </row>
    <row r="176" customHeight="1" spans="1:8">
      <c r="A176" s="5" t="str">
        <f>"2578202008201535051091"</f>
        <v>2578202008201535051091</v>
      </c>
      <c r="B176" s="5" t="s">
        <v>9</v>
      </c>
      <c r="C176" s="5" t="s">
        <v>185</v>
      </c>
      <c r="D176" s="5" t="str">
        <f>"236000010523"</f>
        <v>236000010523</v>
      </c>
      <c r="E176" s="7">
        <v>51.5</v>
      </c>
      <c r="F176" s="7">
        <v>69.5</v>
      </c>
      <c r="G176" s="7">
        <f t="shared" si="3"/>
        <v>74.76</v>
      </c>
      <c r="H176" s="6" t="s">
        <v>13</v>
      </c>
    </row>
    <row r="177" customHeight="1" spans="1:8">
      <c r="A177" s="5" t="str">
        <f>"257820200819211434820"</f>
        <v>257820200819211434820</v>
      </c>
      <c r="B177" s="5" t="s">
        <v>9</v>
      </c>
      <c r="C177" s="5" t="s">
        <v>186</v>
      </c>
      <c r="D177" s="5" t="str">
        <f>"236000010610"</f>
        <v>236000010610</v>
      </c>
      <c r="E177" s="7">
        <v>65</v>
      </c>
      <c r="F177" s="7">
        <v>60.5</v>
      </c>
      <c r="G177" s="7">
        <f t="shared" si="3"/>
        <v>74.76</v>
      </c>
      <c r="H177" s="6" t="s">
        <v>13</v>
      </c>
    </row>
    <row r="178" customHeight="1" spans="1:8">
      <c r="A178" s="5" t="str">
        <f>"2578202008210941511290"</f>
        <v>2578202008210941511290</v>
      </c>
      <c r="B178" s="5" t="s">
        <v>9</v>
      </c>
      <c r="C178" s="5" t="s">
        <v>187</v>
      </c>
      <c r="D178" s="5" t="str">
        <f>"236000010818"</f>
        <v>236000010818</v>
      </c>
      <c r="E178" s="7">
        <v>65</v>
      </c>
      <c r="F178" s="7">
        <v>60.5</v>
      </c>
      <c r="G178" s="7">
        <f t="shared" si="3"/>
        <v>74.76</v>
      </c>
      <c r="H178" s="6" t="s">
        <v>13</v>
      </c>
    </row>
    <row r="179" customHeight="1" spans="1:8">
      <c r="A179" s="5" t="str">
        <f>"2578202008211840091444"</f>
        <v>2578202008211840091444</v>
      </c>
      <c r="B179" s="5" t="s">
        <v>9</v>
      </c>
      <c r="C179" s="5" t="s">
        <v>188</v>
      </c>
      <c r="D179" s="5" t="str">
        <f>"236000012326"</f>
        <v>236000012326</v>
      </c>
      <c r="E179" s="7">
        <v>59</v>
      </c>
      <c r="F179" s="7">
        <v>64.5</v>
      </c>
      <c r="G179" s="7">
        <f t="shared" si="3"/>
        <v>74.76</v>
      </c>
      <c r="H179" s="6" t="s">
        <v>13</v>
      </c>
    </row>
    <row r="180" customHeight="1" spans="1:8">
      <c r="A180" s="5" t="str">
        <f>"257820200819101943294"</f>
        <v>257820200819101943294</v>
      </c>
      <c r="B180" s="5" t="s">
        <v>9</v>
      </c>
      <c r="C180" s="5" t="s">
        <v>189</v>
      </c>
      <c r="D180" s="5" t="str">
        <f>"236000010406"</f>
        <v>236000010406</v>
      </c>
      <c r="E180" s="7">
        <v>49</v>
      </c>
      <c r="F180" s="7">
        <v>71</v>
      </c>
      <c r="G180" s="7">
        <f t="shared" si="3"/>
        <v>74.64</v>
      </c>
      <c r="H180" s="6" t="s">
        <v>13</v>
      </c>
    </row>
    <row r="181" customHeight="1" spans="1:8">
      <c r="A181" s="5" t="str">
        <f>"257820200819100137250"</f>
        <v>257820200819100137250</v>
      </c>
      <c r="B181" s="5" t="s">
        <v>9</v>
      </c>
      <c r="C181" s="5" t="s">
        <v>190</v>
      </c>
      <c r="D181" s="5" t="str">
        <f>"236000011218"</f>
        <v>236000011218</v>
      </c>
      <c r="E181" s="7">
        <v>56.5</v>
      </c>
      <c r="F181" s="7">
        <v>66</v>
      </c>
      <c r="G181" s="7">
        <f t="shared" si="3"/>
        <v>74.64</v>
      </c>
      <c r="H181" s="6" t="s">
        <v>13</v>
      </c>
    </row>
    <row r="182" customHeight="1" spans="1:8">
      <c r="A182" s="5" t="str">
        <f>"2578202008202309421245"</f>
        <v>2578202008202309421245</v>
      </c>
      <c r="B182" s="5" t="s">
        <v>9</v>
      </c>
      <c r="C182" s="5" t="s">
        <v>191</v>
      </c>
      <c r="D182" s="5" t="str">
        <f>"236000010608"</f>
        <v>236000010608</v>
      </c>
      <c r="E182" s="7">
        <v>55.5</v>
      </c>
      <c r="F182" s="7">
        <v>66.5</v>
      </c>
      <c r="G182" s="7">
        <f t="shared" si="3"/>
        <v>74.52</v>
      </c>
      <c r="H182" s="6" t="s">
        <v>13</v>
      </c>
    </row>
    <row r="183" customHeight="1" spans="1:8">
      <c r="A183" s="5" t="str">
        <f>"257820200819101827292"</f>
        <v>257820200819101827292</v>
      </c>
      <c r="B183" s="5" t="s">
        <v>9</v>
      </c>
      <c r="C183" s="5" t="s">
        <v>192</v>
      </c>
      <c r="D183" s="5" t="str">
        <f>"236000011113"</f>
        <v>236000011113</v>
      </c>
      <c r="E183" s="7">
        <v>60</v>
      </c>
      <c r="F183" s="7">
        <v>63.5</v>
      </c>
      <c r="G183" s="7">
        <f t="shared" si="3"/>
        <v>74.52</v>
      </c>
      <c r="H183" s="6" t="s">
        <v>11</v>
      </c>
    </row>
    <row r="184" customHeight="1" spans="1:8">
      <c r="A184" s="5" t="str">
        <f>"257820200819115750459"</f>
        <v>257820200819115750459</v>
      </c>
      <c r="B184" s="5" t="s">
        <v>9</v>
      </c>
      <c r="C184" s="5" t="s">
        <v>193</v>
      </c>
      <c r="D184" s="5" t="str">
        <f>"236000012415"</f>
        <v>236000012415</v>
      </c>
      <c r="E184" s="7">
        <v>52.5</v>
      </c>
      <c r="F184" s="7">
        <v>68.5</v>
      </c>
      <c r="G184" s="7">
        <f t="shared" si="3"/>
        <v>74.52</v>
      </c>
      <c r="H184" s="6" t="s">
        <v>11</v>
      </c>
    </row>
    <row r="185" customHeight="1" spans="1:8">
      <c r="A185" s="5" t="str">
        <f>"25782020081909013016"</f>
        <v>25782020081909013016</v>
      </c>
      <c r="B185" s="5" t="s">
        <v>9</v>
      </c>
      <c r="C185" s="5" t="s">
        <v>194</v>
      </c>
      <c r="D185" s="5" t="str">
        <f>"236000010205"</f>
        <v>236000010205</v>
      </c>
      <c r="E185" s="7">
        <v>56</v>
      </c>
      <c r="F185" s="7">
        <v>66</v>
      </c>
      <c r="G185" s="7">
        <f t="shared" si="3"/>
        <v>74.4</v>
      </c>
      <c r="H185" s="6" t="s">
        <v>13</v>
      </c>
    </row>
    <row r="186" customHeight="1" spans="1:8">
      <c r="A186" s="5" t="str">
        <f>"257820200819111319412"</f>
        <v>257820200819111319412</v>
      </c>
      <c r="B186" s="5" t="s">
        <v>9</v>
      </c>
      <c r="C186" s="5" t="s">
        <v>195</v>
      </c>
      <c r="D186" s="5" t="str">
        <f>"236000011605"</f>
        <v>236000011605</v>
      </c>
      <c r="E186" s="7">
        <v>56</v>
      </c>
      <c r="F186" s="7">
        <v>66</v>
      </c>
      <c r="G186" s="7">
        <f t="shared" si="3"/>
        <v>74.4</v>
      </c>
      <c r="H186" s="6" t="s">
        <v>13</v>
      </c>
    </row>
    <row r="187" customHeight="1" spans="1:8">
      <c r="A187" s="5" t="str">
        <f>"2578202008201146471006"</f>
        <v>2578202008201146471006</v>
      </c>
      <c r="B187" s="5" t="s">
        <v>9</v>
      </c>
      <c r="C187" s="5" t="s">
        <v>196</v>
      </c>
      <c r="D187" s="5" t="str">
        <f>"236000010904"</f>
        <v>236000010904</v>
      </c>
      <c r="E187" s="7">
        <v>59.5</v>
      </c>
      <c r="F187" s="7">
        <v>63.5</v>
      </c>
      <c r="G187" s="7">
        <f t="shared" si="3"/>
        <v>74.28</v>
      </c>
      <c r="H187" s="6" t="s">
        <v>11</v>
      </c>
    </row>
    <row r="188" customHeight="1" spans="1:8">
      <c r="A188" s="5" t="str">
        <f>"257820200819202451792"</f>
        <v>257820200819202451792</v>
      </c>
      <c r="B188" s="5" t="s">
        <v>9</v>
      </c>
      <c r="C188" s="5" t="s">
        <v>197</v>
      </c>
      <c r="D188" s="5" t="str">
        <f>"236000011603"</f>
        <v>236000011603</v>
      </c>
      <c r="E188" s="7">
        <v>59.5</v>
      </c>
      <c r="F188" s="7">
        <v>63.5</v>
      </c>
      <c r="G188" s="7">
        <f t="shared" si="3"/>
        <v>74.28</v>
      </c>
      <c r="H188" s="6" t="s">
        <v>11</v>
      </c>
    </row>
    <row r="189" customHeight="1" spans="1:8">
      <c r="A189" s="5" t="str">
        <f>"257820200819203629798"</f>
        <v>257820200819203629798</v>
      </c>
      <c r="B189" s="5" t="s">
        <v>9</v>
      </c>
      <c r="C189" s="5" t="s">
        <v>198</v>
      </c>
      <c r="D189" s="5" t="str">
        <f>"236000012010"</f>
        <v>236000012010</v>
      </c>
      <c r="E189" s="7">
        <v>62.5</v>
      </c>
      <c r="F189" s="7">
        <v>61.5</v>
      </c>
      <c r="G189" s="7">
        <f t="shared" si="3"/>
        <v>74.28</v>
      </c>
      <c r="H189" s="6" t="s">
        <v>13</v>
      </c>
    </row>
    <row r="190" customHeight="1" spans="1:8">
      <c r="A190" s="5" t="str">
        <f>"257820200819184017719"</f>
        <v>257820200819184017719</v>
      </c>
      <c r="B190" s="5" t="s">
        <v>9</v>
      </c>
      <c r="C190" s="5" t="s">
        <v>199</v>
      </c>
      <c r="D190" s="5" t="str">
        <f>"236000011712"</f>
        <v>236000011712</v>
      </c>
      <c r="E190" s="7">
        <v>55.5</v>
      </c>
      <c r="F190" s="7">
        <v>66</v>
      </c>
      <c r="G190" s="7">
        <f t="shared" si="3"/>
        <v>74.16</v>
      </c>
      <c r="H190" s="6" t="s">
        <v>13</v>
      </c>
    </row>
    <row r="191" customHeight="1" spans="1:8">
      <c r="A191" s="5" t="str">
        <f>"257820200819135132563"</f>
        <v>257820200819135132563</v>
      </c>
      <c r="B191" s="5" t="s">
        <v>9</v>
      </c>
      <c r="C191" s="5" t="s">
        <v>200</v>
      </c>
      <c r="D191" s="5" t="str">
        <f>"236000010422"</f>
        <v>236000010422</v>
      </c>
      <c r="E191" s="7">
        <v>58.5</v>
      </c>
      <c r="F191" s="7">
        <v>64</v>
      </c>
      <c r="G191" s="7">
        <f t="shared" si="3"/>
        <v>74.16</v>
      </c>
      <c r="H191" s="6" t="s">
        <v>13</v>
      </c>
    </row>
    <row r="192" customHeight="1" spans="1:8">
      <c r="A192" s="5" t="str">
        <f>"257820200819092127127"</f>
        <v>257820200819092127127</v>
      </c>
      <c r="B192" s="5" t="s">
        <v>9</v>
      </c>
      <c r="C192" s="5" t="s">
        <v>201</v>
      </c>
      <c r="D192" s="5" t="str">
        <f>"236000010327"</f>
        <v>236000010327</v>
      </c>
      <c r="E192" s="7">
        <v>62.5</v>
      </c>
      <c r="F192" s="7">
        <v>61</v>
      </c>
      <c r="G192" s="7">
        <f t="shared" si="3"/>
        <v>73.92</v>
      </c>
      <c r="H192" s="6" t="s">
        <v>13</v>
      </c>
    </row>
    <row r="193" customHeight="1" spans="1:8">
      <c r="A193" s="5" t="str">
        <f>"25782020081909050754"</f>
        <v>25782020081909050754</v>
      </c>
      <c r="B193" s="5" t="s">
        <v>9</v>
      </c>
      <c r="C193" s="5" t="s">
        <v>202</v>
      </c>
      <c r="D193" s="5" t="str">
        <f>"236000012424"</f>
        <v>236000012424</v>
      </c>
      <c r="E193" s="7">
        <v>56.5</v>
      </c>
      <c r="F193" s="7">
        <v>65</v>
      </c>
      <c r="G193" s="7">
        <f t="shared" si="3"/>
        <v>73.92</v>
      </c>
      <c r="H193" s="6" t="s">
        <v>13</v>
      </c>
    </row>
    <row r="194" customHeight="1" spans="1:8">
      <c r="A194" s="5" t="str">
        <f>"257820200820095920944"</f>
        <v>257820200820095920944</v>
      </c>
      <c r="B194" s="5" t="s">
        <v>9</v>
      </c>
      <c r="C194" s="5" t="s">
        <v>203</v>
      </c>
      <c r="D194" s="5" t="str">
        <f>"236000010826"</f>
        <v>236000010826</v>
      </c>
      <c r="E194" s="7">
        <v>52</v>
      </c>
      <c r="F194" s="7">
        <v>68</v>
      </c>
      <c r="G194" s="7">
        <f t="shared" si="3"/>
        <v>73.92</v>
      </c>
      <c r="H194" s="6" t="s">
        <v>13</v>
      </c>
    </row>
    <row r="195" customHeight="1" spans="1:8">
      <c r="A195" s="5" t="str">
        <f>"257820200819095508237"</f>
        <v>257820200819095508237</v>
      </c>
      <c r="B195" s="5" t="s">
        <v>9</v>
      </c>
      <c r="C195" s="5" t="s">
        <v>204</v>
      </c>
      <c r="D195" s="5" t="str">
        <f>"236000010502"</f>
        <v>236000010502</v>
      </c>
      <c r="E195" s="7">
        <v>60</v>
      </c>
      <c r="F195" s="7">
        <v>62.5</v>
      </c>
      <c r="G195" s="7">
        <f t="shared" ref="G195:G258" si="4">E195*1.2*0.4+F195*1.2*0.6</f>
        <v>73.8</v>
      </c>
      <c r="H195" s="6" t="s">
        <v>13</v>
      </c>
    </row>
    <row r="196" customHeight="1" spans="1:8">
      <c r="A196" s="5" t="str">
        <f>"257820200820092510922"</f>
        <v>257820200820092510922</v>
      </c>
      <c r="B196" s="5" t="s">
        <v>9</v>
      </c>
      <c r="C196" s="5" t="s">
        <v>205</v>
      </c>
      <c r="D196" s="5" t="str">
        <f>"236000010613"</f>
        <v>236000010613</v>
      </c>
      <c r="E196" s="7">
        <v>54</v>
      </c>
      <c r="F196" s="7">
        <v>66.5</v>
      </c>
      <c r="G196" s="7">
        <f t="shared" si="4"/>
        <v>73.8</v>
      </c>
      <c r="H196" s="6" t="s">
        <v>13</v>
      </c>
    </row>
    <row r="197" customHeight="1" spans="1:8">
      <c r="A197" s="5" t="str">
        <f>"2578202008211032421309"</f>
        <v>2578202008211032421309</v>
      </c>
      <c r="B197" s="5" t="s">
        <v>9</v>
      </c>
      <c r="C197" s="5" t="s">
        <v>206</v>
      </c>
      <c r="D197" s="5" t="str">
        <f>"236000010622"</f>
        <v>236000010622</v>
      </c>
      <c r="E197" s="7">
        <v>63</v>
      </c>
      <c r="F197" s="7">
        <v>60.5</v>
      </c>
      <c r="G197" s="7">
        <f t="shared" si="4"/>
        <v>73.8</v>
      </c>
      <c r="H197" s="6" t="s">
        <v>11</v>
      </c>
    </row>
    <row r="198" customHeight="1" spans="1:8">
      <c r="A198" s="5" t="str">
        <f>"2578202008201641451116"</f>
        <v>2578202008201641451116</v>
      </c>
      <c r="B198" s="5" t="s">
        <v>9</v>
      </c>
      <c r="C198" s="5" t="s">
        <v>207</v>
      </c>
      <c r="D198" s="5" t="str">
        <f>"236000010821"</f>
        <v>236000010821</v>
      </c>
      <c r="E198" s="7">
        <v>55.5</v>
      </c>
      <c r="F198" s="7">
        <v>65.5</v>
      </c>
      <c r="G198" s="7">
        <f t="shared" si="4"/>
        <v>73.8</v>
      </c>
      <c r="H198" s="6" t="s">
        <v>13</v>
      </c>
    </row>
    <row r="199" customHeight="1" spans="1:8">
      <c r="A199" s="5" t="str">
        <f>"257820200819141034578"</f>
        <v>257820200819141034578</v>
      </c>
      <c r="B199" s="5" t="s">
        <v>9</v>
      </c>
      <c r="C199" s="5" t="s">
        <v>208</v>
      </c>
      <c r="D199" s="5" t="str">
        <f>"236000011221"</f>
        <v>236000011221</v>
      </c>
      <c r="E199" s="7">
        <v>55.5</v>
      </c>
      <c r="F199" s="7">
        <v>65.5</v>
      </c>
      <c r="G199" s="7">
        <f t="shared" si="4"/>
        <v>73.8</v>
      </c>
      <c r="H199" s="6" t="s">
        <v>11</v>
      </c>
    </row>
    <row r="200" customHeight="1" spans="1:8">
      <c r="A200" s="5" t="str">
        <f>"2578202008201316211046"</f>
        <v>2578202008201316211046</v>
      </c>
      <c r="B200" s="5" t="s">
        <v>9</v>
      </c>
      <c r="C200" s="5" t="s">
        <v>209</v>
      </c>
      <c r="D200" s="5" t="str">
        <f>"236000011309"</f>
        <v>236000011309</v>
      </c>
      <c r="E200" s="7">
        <v>60</v>
      </c>
      <c r="F200" s="7">
        <v>62.5</v>
      </c>
      <c r="G200" s="7">
        <f t="shared" si="4"/>
        <v>73.8</v>
      </c>
      <c r="H200" s="6" t="s">
        <v>11</v>
      </c>
    </row>
    <row r="201" customHeight="1" spans="1:8">
      <c r="A201" s="5" t="str">
        <f>"257820200819104225346"</f>
        <v>257820200819104225346</v>
      </c>
      <c r="B201" s="5" t="s">
        <v>9</v>
      </c>
      <c r="C201" s="5" t="s">
        <v>210</v>
      </c>
      <c r="D201" s="5" t="str">
        <f>"236000011626"</f>
        <v>236000011626</v>
      </c>
      <c r="E201" s="7">
        <v>60</v>
      </c>
      <c r="F201" s="7">
        <v>62.5</v>
      </c>
      <c r="G201" s="7">
        <f t="shared" si="4"/>
        <v>73.8</v>
      </c>
      <c r="H201" s="6" t="s">
        <v>13</v>
      </c>
    </row>
    <row r="202" customHeight="1" spans="1:8">
      <c r="A202" s="5" t="str">
        <f>"257820200820100655947"</f>
        <v>257820200820100655947</v>
      </c>
      <c r="B202" s="5" t="s">
        <v>9</v>
      </c>
      <c r="C202" s="5" t="s">
        <v>211</v>
      </c>
      <c r="D202" s="5" t="str">
        <f>"236000011715"</f>
        <v>236000011715</v>
      </c>
      <c r="E202" s="7">
        <v>61.5</v>
      </c>
      <c r="F202" s="7">
        <v>61.5</v>
      </c>
      <c r="G202" s="7">
        <f t="shared" si="4"/>
        <v>73.8</v>
      </c>
      <c r="H202" s="6" t="s">
        <v>13</v>
      </c>
    </row>
    <row r="203" customHeight="1" spans="1:8">
      <c r="A203" s="5" t="str">
        <f>"2578202008201437011064"</f>
        <v>2578202008201437011064</v>
      </c>
      <c r="B203" s="5" t="s">
        <v>9</v>
      </c>
      <c r="C203" s="5" t="s">
        <v>212</v>
      </c>
      <c r="D203" s="5" t="str">
        <f>"236000011815"</f>
        <v>236000011815</v>
      </c>
      <c r="E203" s="7">
        <v>60</v>
      </c>
      <c r="F203" s="7">
        <v>62.5</v>
      </c>
      <c r="G203" s="7">
        <f t="shared" si="4"/>
        <v>73.8</v>
      </c>
      <c r="H203" s="6" t="s">
        <v>13</v>
      </c>
    </row>
    <row r="204" customHeight="1" spans="1:8">
      <c r="A204" s="5" t="str">
        <f>"2578202008201637141112"</f>
        <v>2578202008201637141112</v>
      </c>
      <c r="B204" s="5" t="s">
        <v>9</v>
      </c>
      <c r="C204" s="5" t="s">
        <v>213</v>
      </c>
      <c r="D204" s="5" t="str">
        <f>"236000011428"</f>
        <v>236000011428</v>
      </c>
      <c r="E204" s="7">
        <v>54.5</v>
      </c>
      <c r="F204" s="7">
        <v>66</v>
      </c>
      <c r="G204" s="7">
        <f t="shared" si="4"/>
        <v>73.68</v>
      </c>
      <c r="H204" s="6" t="s">
        <v>13</v>
      </c>
    </row>
    <row r="205" customHeight="1" spans="1:8">
      <c r="A205" s="5" t="str">
        <f>"257820200820094149932"</f>
        <v>257820200820094149932</v>
      </c>
      <c r="B205" s="5" t="s">
        <v>9</v>
      </c>
      <c r="C205" s="5" t="s">
        <v>214</v>
      </c>
      <c r="D205" s="5" t="str">
        <f>"236000011610"</f>
        <v>236000011610</v>
      </c>
      <c r="E205" s="7">
        <v>54.5</v>
      </c>
      <c r="F205" s="7">
        <v>66</v>
      </c>
      <c r="G205" s="7">
        <f t="shared" si="4"/>
        <v>73.68</v>
      </c>
      <c r="H205" s="6" t="s">
        <v>13</v>
      </c>
    </row>
    <row r="206" customHeight="1" spans="1:8">
      <c r="A206" s="5" t="str">
        <f>"257820200819125358515"</f>
        <v>257820200819125358515</v>
      </c>
      <c r="B206" s="5" t="s">
        <v>9</v>
      </c>
      <c r="C206" s="5" t="s">
        <v>215</v>
      </c>
      <c r="D206" s="5" t="str">
        <f>"236000011121"</f>
        <v>236000011121</v>
      </c>
      <c r="E206" s="7">
        <v>59</v>
      </c>
      <c r="F206" s="7">
        <v>63</v>
      </c>
      <c r="G206" s="7">
        <f t="shared" si="4"/>
        <v>73.68</v>
      </c>
      <c r="H206" s="6" t="s">
        <v>13</v>
      </c>
    </row>
    <row r="207" customHeight="1" spans="1:8">
      <c r="A207" s="5" t="str">
        <f>"2578202008211228421359"</f>
        <v>2578202008211228421359</v>
      </c>
      <c r="B207" s="5" t="s">
        <v>9</v>
      </c>
      <c r="C207" s="5" t="s">
        <v>216</v>
      </c>
      <c r="D207" s="5" t="str">
        <f>"236000011320"</f>
        <v>236000011320</v>
      </c>
      <c r="E207" s="7">
        <v>58</v>
      </c>
      <c r="F207" s="7">
        <v>63.5</v>
      </c>
      <c r="G207" s="7">
        <f t="shared" si="4"/>
        <v>73.56</v>
      </c>
      <c r="H207" s="6" t="s">
        <v>13</v>
      </c>
    </row>
    <row r="208" customHeight="1" spans="1:8">
      <c r="A208" s="5" t="str">
        <f>"257820200819195231776"</f>
        <v>257820200819195231776</v>
      </c>
      <c r="B208" s="5" t="s">
        <v>9</v>
      </c>
      <c r="C208" s="5" t="s">
        <v>217</v>
      </c>
      <c r="D208" s="5" t="str">
        <f>"236000010129"</f>
        <v>236000010129</v>
      </c>
      <c r="E208" s="7">
        <v>56.5</v>
      </c>
      <c r="F208" s="7">
        <v>64.5</v>
      </c>
      <c r="G208" s="7">
        <f t="shared" si="4"/>
        <v>73.56</v>
      </c>
      <c r="H208" s="6" t="s">
        <v>13</v>
      </c>
    </row>
    <row r="209" customHeight="1" spans="1:8">
      <c r="A209" s="5" t="str">
        <f>"257820200819120208462"</f>
        <v>257820200819120208462</v>
      </c>
      <c r="B209" s="5" t="s">
        <v>9</v>
      </c>
      <c r="C209" s="5" t="s">
        <v>218</v>
      </c>
      <c r="D209" s="5" t="str">
        <f>"236000011903"</f>
        <v>236000011903</v>
      </c>
      <c r="E209" s="7">
        <v>56.5</v>
      </c>
      <c r="F209" s="7">
        <v>64.5</v>
      </c>
      <c r="G209" s="7">
        <f t="shared" si="4"/>
        <v>73.56</v>
      </c>
      <c r="H209" s="6" t="s">
        <v>13</v>
      </c>
    </row>
    <row r="210" customHeight="1" spans="1:8">
      <c r="A210" s="5" t="str">
        <f>"257820200820094432933"</f>
        <v>257820200820094432933</v>
      </c>
      <c r="B210" s="5" t="s">
        <v>9</v>
      </c>
      <c r="C210" s="5" t="s">
        <v>219</v>
      </c>
      <c r="D210" s="5" t="str">
        <f>"236000012302"</f>
        <v>236000012302</v>
      </c>
      <c r="E210" s="7">
        <v>57</v>
      </c>
      <c r="F210" s="7">
        <v>64</v>
      </c>
      <c r="G210" s="7">
        <f t="shared" si="4"/>
        <v>73.44</v>
      </c>
      <c r="H210" s="6" t="s">
        <v>13</v>
      </c>
    </row>
    <row r="211" customHeight="1" spans="1:8">
      <c r="A211" s="5" t="str">
        <f>"2578202008201212441015"</f>
        <v>2578202008201212441015</v>
      </c>
      <c r="B211" s="5" t="s">
        <v>9</v>
      </c>
      <c r="C211" s="5" t="s">
        <v>220</v>
      </c>
      <c r="D211" s="5" t="str">
        <f>"236000010614"</f>
        <v>236000010614</v>
      </c>
      <c r="E211" s="7">
        <v>56</v>
      </c>
      <c r="F211" s="7">
        <v>64.5</v>
      </c>
      <c r="G211" s="7">
        <f t="shared" si="4"/>
        <v>73.32</v>
      </c>
      <c r="H211" s="6" t="s">
        <v>13</v>
      </c>
    </row>
    <row r="212" customHeight="1" spans="1:8">
      <c r="A212" s="5" t="str">
        <f>"257820200819124616506"</f>
        <v>257820200819124616506</v>
      </c>
      <c r="B212" s="5" t="s">
        <v>9</v>
      </c>
      <c r="C212" s="5" t="s">
        <v>221</v>
      </c>
      <c r="D212" s="5" t="str">
        <f>"236000010115"</f>
        <v>236000010115</v>
      </c>
      <c r="E212" s="7">
        <v>52</v>
      </c>
      <c r="F212" s="7">
        <v>67</v>
      </c>
      <c r="G212" s="7">
        <f t="shared" si="4"/>
        <v>73.2</v>
      </c>
      <c r="H212" s="6" t="s">
        <v>13</v>
      </c>
    </row>
    <row r="213" customHeight="1" spans="1:8">
      <c r="A213" s="5" t="str">
        <f>"2578202008201401011058"</f>
        <v>2578202008201401011058</v>
      </c>
      <c r="B213" s="5" t="s">
        <v>9</v>
      </c>
      <c r="C213" s="5" t="s">
        <v>222</v>
      </c>
      <c r="D213" s="5" t="str">
        <f>"236000010201"</f>
        <v>236000010201</v>
      </c>
      <c r="E213" s="7">
        <v>52</v>
      </c>
      <c r="F213" s="7">
        <v>67</v>
      </c>
      <c r="G213" s="7">
        <f t="shared" si="4"/>
        <v>73.2</v>
      </c>
      <c r="H213" s="6" t="s">
        <v>13</v>
      </c>
    </row>
    <row r="214" customHeight="1" spans="1:8">
      <c r="A214" s="5" t="str">
        <f>"2578202008210841081274"</f>
        <v>2578202008210841081274</v>
      </c>
      <c r="B214" s="5" t="s">
        <v>9</v>
      </c>
      <c r="C214" s="5" t="s">
        <v>223</v>
      </c>
      <c r="D214" s="5" t="str">
        <f>"236000010909"</f>
        <v>236000010909</v>
      </c>
      <c r="E214" s="7">
        <v>55</v>
      </c>
      <c r="F214" s="7">
        <v>65</v>
      </c>
      <c r="G214" s="7">
        <f t="shared" si="4"/>
        <v>73.2</v>
      </c>
      <c r="H214" s="6" t="s">
        <v>13</v>
      </c>
    </row>
    <row r="215" customHeight="1" spans="1:8">
      <c r="A215" s="5" t="str">
        <f>"257820200819103317328"</f>
        <v>257820200819103317328</v>
      </c>
      <c r="B215" s="5" t="s">
        <v>9</v>
      </c>
      <c r="C215" s="5" t="s">
        <v>224</v>
      </c>
      <c r="D215" s="5" t="str">
        <f>"236000012113"</f>
        <v>236000012113</v>
      </c>
      <c r="E215" s="7">
        <v>58</v>
      </c>
      <c r="F215" s="7">
        <v>63</v>
      </c>
      <c r="G215" s="7">
        <f t="shared" si="4"/>
        <v>73.2</v>
      </c>
      <c r="H215" s="6" t="s">
        <v>11</v>
      </c>
    </row>
    <row r="216" customHeight="1" spans="1:8">
      <c r="A216" s="5" t="str">
        <f>"257820200819203538796"</f>
        <v>257820200819203538796</v>
      </c>
      <c r="B216" s="5" t="s">
        <v>9</v>
      </c>
      <c r="C216" s="5" t="s">
        <v>225</v>
      </c>
      <c r="D216" s="5" t="str">
        <f>"236000011430"</f>
        <v>236000011430</v>
      </c>
      <c r="E216" s="7">
        <v>57</v>
      </c>
      <c r="F216" s="7">
        <v>63.5</v>
      </c>
      <c r="G216" s="7">
        <f t="shared" si="4"/>
        <v>73.08</v>
      </c>
      <c r="H216" s="6" t="s">
        <v>13</v>
      </c>
    </row>
    <row r="217" customHeight="1" spans="1:8">
      <c r="A217" s="5" t="str">
        <f>"257820200819214725837"</f>
        <v>257820200819214725837</v>
      </c>
      <c r="B217" s="5" t="s">
        <v>9</v>
      </c>
      <c r="C217" s="5" t="s">
        <v>226</v>
      </c>
      <c r="D217" s="5" t="str">
        <f>"236000010506"</f>
        <v>236000010506</v>
      </c>
      <c r="E217" s="7">
        <v>55.5</v>
      </c>
      <c r="F217" s="7">
        <v>64.5</v>
      </c>
      <c r="G217" s="7">
        <f t="shared" si="4"/>
        <v>73.08</v>
      </c>
      <c r="H217" s="6" t="s">
        <v>13</v>
      </c>
    </row>
    <row r="218" customHeight="1" spans="1:8">
      <c r="A218" s="5" t="str">
        <f>"25782020081909102878"</f>
        <v>25782020081909102878</v>
      </c>
      <c r="B218" s="5" t="s">
        <v>9</v>
      </c>
      <c r="C218" s="5" t="s">
        <v>227</v>
      </c>
      <c r="D218" s="5" t="str">
        <f>"236000011002"</f>
        <v>236000011002</v>
      </c>
      <c r="E218" s="7">
        <v>60</v>
      </c>
      <c r="F218" s="7">
        <v>61.5</v>
      </c>
      <c r="G218" s="7">
        <f t="shared" si="4"/>
        <v>73.08</v>
      </c>
      <c r="H218" s="6" t="s">
        <v>13</v>
      </c>
    </row>
    <row r="219" customHeight="1" spans="1:8">
      <c r="A219" s="5" t="str">
        <f>"2578202008201936481177"</f>
        <v>2578202008201936481177</v>
      </c>
      <c r="B219" s="5" t="s">
        <v>9</v>
      </c>
      <c r="C219" s="5" t="s">
        <v>228</v>
      </c>
      <c r="D219" s="5" t="str">
        <f>"236000010227"</f>
        <v>236000010227</v>
      </c>
      <c r="E219" s="7">
        <v>59</v>
      </c>
      <c r="F219" s="7">
        <v>62</v>
      </c>
      <c r="G219" s="7">
        <f t="shared" si="4"/>
        <v>72.96</v>
      </c>
      <c r="H219" s="6" t="s">
        <v>13</v>
      </c>
    </row>
    <row r="220" customHeight="1" spans="1:8">
      <c r="A220" s="5" t="str">
        <f>"2578202008202014421192"</f>
        <v>2578202008202014421192</v>
      </c>
      <c r="B220" s="5" t="s">
        <v>9</v>
      </c>
      <c r="C220" s="5" t="s">
        <v>229</v>
      </c>
      <c r="D220" s="5" t="str">
        <f>"236000011026"</f>
        <v>236000011026</v>
      </c>
      <c r="E220" s="7">
        <v>58</v>
      </c>
      <c r="F220" s="7">
        <v>62.5</v>
      </c>
      <c r="G220" s="7">
        <f t="shared" si="4"/>
        <v>72.84</v>
      </c>
      <c r="H220" s="6" t="s">
        <v>13</v>
      </c>
    </row>
    <row r="221" customHeight="1" spans="1:8">
      <c r="A221" s="5" t="str">
        <f>"257820200819150539607"</f>
        <v>257820200819150539607</v>
      </c>
      <c r="B221" s="5" t="s">
        <v>9</v>
      </c>
      <c r="C221" s="5" t="s">
        <v>230</v>
      </c>
      <c r="D221" s="5" t="str">
        <f>"236000011625"</f>
        <v>236000011625</v>
      </c>
      <c r="E221" s="7">
        <v>61</v>
      </c>
      <c r="F221" s="7">
        <v>60.5</v>
      </c>
      <c r="G221" s="7">
        <f t="shared" si="4"/>
        <v>72.84</v>
      </c>
      <c r="H221" s="6" t="s">
        <v>13</v>
      </c>
    </row>
    <row r="222" customHeight="1" spans="1:8">
      <c r="A222" s="5" t="str">
        <f>"257820200819144206596"</f>
        <v>257820200819144206596</v>
      </c>
      <c r="B222" s="5" t="s">
        <v>9</v>
      </c>
      <c r="C222" s="5" t="s">
        <v>231</v>
      </c>
      <c r="D222" s="5" t="str">
        <f>"236000012116"</f>
        <v>236000012116</v>
      </c>
      <c r="E222" s="7">
        <v>65.5</v>
      </c>
      <c r="F222" s="7">
        <v>57.5</v>
      </c>
      <c r="G222" s="7">
        <f t="shared" si="4"/>
        <v>72.84</v>
      </c>
      <c r="H222" s="6" t="s">
        <v>13</v>
      </c>
    </row>
    <row r="223" customHeight="1" spans="1:8">
      <c r="A223" s="5" t="str">
        <f>"257820200820060056877"</f>
        <v>257820200820060056877</v>
      </c>
      <c r="B223" s="5" t="s">
        <v>9</v>
      </c>
      <c r="C223" s="5" t="s">
        <v>232</v>
      </c>
      <c r="D223" s="5" t="str">
        <f>"236000011114"</f>
        <v>236000011114</v>
      </c>
      <c r="E223" s="7">
        <v>55</v>
      </c>
      <c r="F223" s="7">
        <v>64.5</v>
      </c>
      <c r="G223" s="7">
        <f t="shared" si="4"/>
        <v>72.84</v>
      </c>
      <c r="H223" s="6" t="s">
        <v>13</v>
      </c>
    </row>
    <row r="224" customHeight="1" spans="1:8">
      <c r="A224" s="5" t="str">
        <f>"257820200819102459305"</f>
        <v>257820200819102459305</v>
      </c>
      <c r="B224" s="5" t="s">
        <v>9</v>
      </c>
      <c r="C224" s="5" t="s">
        <v>233</v>
      </c>
      <c r="D224" s="5" t="str">
        <f>"236000011602"</f>
        <v>236000011602</v>
      </c>
      <c r="E224" s="7">
        <v>60</v>
      </c>
      <c r="F224" s="7">
        <v>61</v>
      </c>
      <c r="G224" s="7">
        <f t="shared" si="4"/>
        <v>72.72</v>
      </c>
      <c r="H224" s="6" t="s">
        <v>13</v>
      </c>
    </row>
    <row r="225" customHeight="1" spans="1:8">
      <c r="A225" s="5" t="str">
        <f>"25782020081909032631"</f>
        <v>25782020081909032631</v>
      </c>
      <c r="B225" s="5" t="s">
        <v>9</v>
      </c>
      <c r="C225" s="5" t="s">
        <v>234</v>
      </c>
      <c r="D225" s="5" t="str">
        <f>"236000012327"</f>
        <v>236000012327</v>
      </c>
      <c r="E225" s="7">
        <v>55.5</v>
      </c>
      <c r="F225" s="7">
        <v>64</v>
      </c>
      <c r="G225" s="7">
        <f t="shared" si="4"/>
        <v>72.72</v>
      </c>
      <c r="H225" s="6" t="s">
        <v>13</v>
      </c>
    </row>
    <row r="226" customHeight="1" spans="1:8">
      <c r="A226" s="5" t="str">
        <f>"257820200819092931157"</f>
        <v>257820200819092931157</v>
      </c>
      <c r="B226" s="5" t="s">
        <v>9</v>
      </c>
      <c r="C226" s="5" t="s">
        <v>235</v>
      </c>
      <c r="D226" s="5" t="str">
        <f>"236000012130"</f>
        <v>236000012130</v>
      </c>
      <c r="E226" s="7">
        <v>56.5</v>
      </c>
      <c r="F226" s="7">
        <v>63</v>
      </c>
      <c r="G226" s="7">
        <f t="shared" si="4"/>
        <v>72.48</v>
      </c>
      <c r="H226" s="6" t="s">
        <v>11</v>
      </c>
    </row>
    <row r="227" customHeight="1" spans="1:8">
      <c r="A227" s="5" t="str">
        <f>"25782020081909041141"</f>
        <v>25782020081909041141</v>
      </c>
      <c r="B227" s="5" t="s">
        <v>9</v>
      </c>
      <c r="C227" s="5" t="s">
        <v>236</v>
      </c>
      <c r="D227" s="5" t="str">
        <f>"236000011203"</f>
        <v>236000011203</v>
      </c>
      <c r="E227" s="7">
        <v>57</v>
      </c>
      <c r="F227" s="7">
        <v>62.5</v>
      </c>
      <c r="G227" s="7">
        <f t="shared" si="4"/>
        <v>72.36</v>
      </c>
      <c r="H227" s="6" t="s">
        <v>13</v>
      </c>
    </row>
    <row r="228" customHeight="1" spans="1:8">
      <c r="A228" s="5" t="str">
        <f>"257820200819131433535"</f>
        <v>257820200819131433535</v>
      </c>
      <c r="B228" s="5" t="s">
        <v>9</v>
      </c>
      <c r="C228" s="5" t="s">
        <v>237</v>
      </c>
      <c r="D228" s="5" t="str">
        <f>"236000011716"</f>
        <v>236000011716</v>
      </c>
      <c r="E228" s="7">
        <v>49.5</v>
      </c>
      <c r="F228" s="7">
        <v>67.5</v>
      </c>
      <c r="G228" s="7">
        <f t="shared" si="4"/>
        <v>72.36</v>
      </c>
      <c r="H228" s="6" t="s">
        <v>13</v>
      </c>
    </row>
    <row r="229" customHeight="1" spans="1:8">
      <c r="A229" s="5" t="str">
        <f>"257820200819164526666"</f>
        <v>257820200819164526666</v>
      </c>
      <c r="B229" s="5" t="s">
        <v>9</v>
      </c>
      <c r="C229" s="5" t="s">
        <v>238</v>
      </c>
      <c r="D229" s="5" t="str">
        <f>"236000011827"</f>
        <v>236000011827</v>
      </c>
      <c r="E229" s="7">
        <v>60</v>
      </c>
      <c r="F229" s="7">
        <v>60.5</v>
      </c>
      <c r="G229" s="7">
        <f t="shared" si="4"/>
        <v>72.36</v>
      </c>
      <c r="H229" s="6" t="s">
        <v>13</v>
      </c>
    </row>
    <row r="230" customHeight="1" spans="1:8">
      <c r="A230" s="5" t="str">
        <f>"257820200819105016366"</f>
        <v>257820200819105016366</v>
      </c>
      <c r="B230" s="5" t="s">
        <v>9</v>
      </c>
      <c r="C230" s="5" t="s">
        <v>239</v>
      </c>
      <c r="D230" s="5" t="str">
        <f>"236000012123"</f>
        <v>236000012123</v>
      </c>
      <c r="E230" s="7">
        <v>64.5</v>
      </c>
      <c r="F230" s="7">
        <v>57.5</v>
      </c>
      <c r="G230" s="7">
        <f t="shared" si="4"/>
        <v>72.36</v>
      </c>
      <c r="H230" s="6" t="s">
        <v>13</v>
      </c>
    </row>
    <row r="231" customHeight="1" spans="1:8">
      <c r="A231" s="5" t="str">
        <f>"257820200820092540923"</f>
        <v>257820200820092540923</v>
      </c>
      <c r="B231" s="5" t="s">
        <v>9</v>
      </c>
      <c r="C231" s="5" t="s">
        <v>240</v>
      </c>
      <c r="D231" s="5" t="str">
        <f>"236000010710"</f>
        <v>236000010710</v>
      </c>
      <c r="E231" s="7">
        <v>53</v>
      </c>
      <c r="F231" s="7">
        <v>65</v>
      </c>
      <c r="G231" s="7">
        <f t="shared" si="4"/>
        <v>72.24</v>
      </c>
      <c r="H231" s="6" t="s">
        <v>13</v>
      </c>
    </row>
    <row r="232" customHeight="1" spans="1:8">
      <c r="A232" s="5" t="str">
        <f>"2578202008202123541216"</f>
        <v>2578202008202123541216</v>
      </c>
      <c r="B232" s="5" t="s">
        <v>9</v>
      </c>
      <c r="C232" s="5" t="s">
        <v>241</v>
      </c>
      <c r="D232" s="5" t="str">
        <f>"236000011904"</f>
        <v>236000011904</v>
      </c>
      <c r="E232" s="7">
        <v>53</v>
      </c>
      <c r="F232" s="7">
        <v>65</v>
      </c>
      <c r="G232" s="7">
        <f t="shared" si="4"/>
        <v>72.24</v>
      </c>
      <c r="H232" s="6" t="s">
        <v>13</v>
      </c>
    </row>
    <row r="233" customHeight="1" spans="1:8">
      <c r="A233" s="5" t="str">
        <f>"2578202008201636071111"</f>
        <v>2578202008201636071111</v>
      </c>
      <c r="B233" s="5" t="s">
        <v>9</v>
      </c>
      <c r="C233" s="5" t="s">
        <v>242</v>
      </c>
      <c r="D233" s="5" t="str">
        <f>"236000012210"</f>
        <v>236000012210</v>
      </c>
      <c r="E233" s="7">
        <v>56</v>
      </c>
      <c r="F233" s="7">
        <v>63</v>
      </c>
      <c r="G233" s="7">
        <f t="shared" si="4"/>
        <v>72.24</v>
      </c>
      <c r="H233" s="6" t="s">
        <v>11</v>
      </c>
    </row>
    <row r="234" customHeight="1" spans="1:8">
      <c r="A234" s="5" t="str">
        <f>"257820200819092233131"</f>
        <v>257820200819092233131</v>
      </c>
      <c r="B234" s="5" t="s">
        <v>9</v>
      </c>
      <c r="C234" s="5" t="s">
        <v>243</v>
      </c>
      <c r="D234" s="5" t="str">
        <f>"236000010230"</f>
        <v>236000010230</v>
      </c>
      <c r="E234" s="7">
        <v>58</v>
      </c>
      <c r="F234" s="7">
        <v>61.5</v>
      </c>
      <c r="G234" s="7">
        <f t="shared" si="4"/>
        <v>72.12</v>
      </c>
      <c r="H234" s="6" t="s">
        <v>13</v>
      </c>
    </row>
    <row r="235" customHeight="1" spans="1:8">
      <c r="A235" s="5" t="str">
        <f>"257820200819092324137"</f>
        <v>257820200819092324137</v>
      </c>
      <c r="B235" s="5" t="s">
        <v>9</v>
      </c>
      <c r="C235" s="5" t="s">
        <v>244</v>
      </c>
      <c r="D235" s="5" t="str">
        <f>"236000010409"</f>
        <v>236000010409</v>
      </c>
      <c r="E235" s="7">
        <v>59.5</v>
      </c>
      <c r="F235" s="7">
        <v>60.5</v>
      </c>
      <c r="G235" s="7">
        <f t="shared" si="4"/>
        <v>72.12</v>
      </c>
      <c r="H235" s="6" t="s">
        <v>13</v>
      </c>
    </row>
    <row r="236" customHeight="1" spans="1:8">
      <c r="A236" s="5" t="str">
        <f>"2578202008201401281059"</f>
        <v>2578202008201401281059</v>
      </c>
      <c r="B236" s="5" t="s">
        <v>9</v>
      </c>
      <c r="C236" s="5" t="s">
        <v>245</v>
      </c>
      <c r="D236" s="5" t="str">
        <f>"236000012115"</f>
        <v>236000012115</v>
      </c>
      <c r="E236" s="7">
        <v>59.5</v>
      </c>
      <c r="F236" s="7">
        <v>60.5</v>
      </c>
      <c r="G236" s="7">
        <f t="shared" si="4"/>
        <v>72.12</v>
      </c>
      <c r="H236" s="6" t="s">
        <v>13</v>
      </c>
    </row>
    <row r="237" customHeight="1" spans="1:8">
      <c r="A237" s="5" t="str">
        <f>"257820200820071638886"</f>
        <v>257820200820071638886</v>
      </c>
      <c r="B237" s="5" t="s">
        <v>9</v>
      </c>
      <c r="C237" s="5" t="s">
        <v>246</v>
      </c>
      <c r="D237" s="5" t="str">
        <f>"236000010407"</f>
        <v>236000010407</v>
      </c>
      <c r="E237" s="7">
        <v>49.5</v>
      </c>
      <c r="F237" s="7">
        <v>67</v>
      </c>
      <c r="G237" s="7">
        <f t="shared" si="4"/>
        <v>72</v>
      </c>
      <c r="H237" s="6" t="s">
        <v>11</v>
      </c>
    </row>
    <row r="238" customHeight="1" spans="1:8">
      <c r="A238" s="5" t="str">
        <f>"2578202008211053331317"</f>
        <v>2578202008211053331317</v>
      </c>
      <c r="B238" s="5" t="s">
        <v>9</v>
      </c>
      <c r="C238" s="5" t="s">
        <v>247</v>
      </c>
      <c r="D238" s="5" t="str">
        <f>"236000010817"</f>
        <v>236000010817</v>
      </c>
      <c r="E238" s="7">
        <v>58.5</v>
      </c>
      <c r="F238" s="7">
        <v>61</v>
      </c>
      <c r="G238" s="7">
        <f t="shared" si="4"/>
        <v>72</v>
      </c>
      <c r="H238" s="6" t="s">
        <v>11</v>
      </c>
    </row>
    <row r="239" customHeight="1" spans="1:8">
      <c r="A239" s="5" t="str">
        <f>"2578202008202045131205"</f>
        <v>2578202008202045131205</v>
      </c>
      <c r="B239" s="5" t="s">
        <v>9</v>
      </c>
      <c r="C239" s="5" t="s">
        <v>248</v>
      </c>
      <c r="D239" s="5" t="str">
        <f>"236000010906"</f>
        <v>236000010906</v>
      </c>
      <c r="E239" s="7">
        <v>58.5</v>
      </c>
      <c r="F239" s="7">
        <v>61</v>
      </c>
      <c r="G239" s="7">
        <f t="shared" si="4"/>
        <v>72</v>
      </c>
      <c r="H239" s="6" t="s">
        <v>13</v>
      </c>
    </row>
    <row r="240" customHeight="1" spans="1:8">
      <c r="A240" s="5" t="str">
        <f>"2578202008211235311362"</f>
        <v>2578202008211235311362</v>
      </c>
      <c r="B240" s="5" t="s">
        <v>9</v>
      </c>
      <c r="C240" s="5" t="s">
        <v>249</v>
      </c>
      <c r="D240" s="5" t="str">
        <f>"236000010927"</f>
        <v>236000010927</v>
      </c>
      <c r="E240" s="7">
        <v>56</v>
      </c>
      <c r="F240" s="7">
        <v>62.5</v>
      </c>
      <c r="G240" s="7">
        <f t="shared" si="4"/>
        <v>71.88</v>
      </c>
      <c r="H240" s="6" t="s">
        <v>13</v>
      </c>
    </row>
    <row r="241" customHeight="1" spans="1:8">
      <c r="A241" s="5" t="str">
        <f>"257820200819094349209"</f>
        <v>257820200819094349209</v>
      </c>
      <c r="B241" s="5" t="s">
        <v>9</v>
      </c>
      <c r="C241" s="5" t="s">
        <v>250</v>
      </c>
      <c r="D241" s="5" t="str">
        <f>"236000010105"</f>
        <v>236000010105</v>
      </c>
      <c r="E241" s="7">
        <v>59</v>
      </c>
      <c r="F241" s="7">
        <v>60.5</v>
      </c>
      <c r="G241" s="7">
        <f t="shared" si="4"/>
        <v>71.88</v>
      </c>
      <c r="H241" s="6" t="s">
        <v>13</v>
      </c>
    </row>
    <row r="242" customHeight="1" spans="1:8">
      <c r="A242" s="5" t="str">
        <f>"2578202008201312401044"</f>
        <v>2578202008201312401044</v>
      </c>
      <c r="B242" s="5" t="s">
        <v>9</v>
      </c>
      <c r="C242" s="5" t="s">
        <v>251</v>
      </c>
      <c r="D242" s="5" t="str">
        <f>"236000010225"</f>
        <v>236000010225</v>
      </c>
      <c r="E242" s="7">
        <v>60.5</v>
      </c>
      <c r="F242" s="7">
        <v>59.5</v>
      </c>
      <c r="G242" s="7">
        <f t="shared" si="4"/>
        <v>71.88</v>
      </c>
      <c r="H242" s="6" t="s">
        <v>13</v>
      </c>
    </row>
    <row r="243" customHeight="1" spans="1:8">
      <c r="A243" s="5" t="str">
        <f>"257820200819154021619"</f>
        <v>257820200819154021619</v>
      </c>
      <c r="B243" s="5" t="s">
        <v>9</v>
      </c>
      <c r="C243" s="5" t="s">
        <v>252</v>
      </c>
      <c r="D243" s="5" t="str">
        <f>"236000011209"</f>
        <v>236000011209</v>
      </c>
      <c r="E243" s="7">
        <v>51.5</v>
      </c>
      <c r="F243" s="7">
        <v>65.5</v>
      </c>
      <c r="G243" s="7">
        <f t="shared" si="4"/>
        <v>71.88</v>
      </c>
      <c r="H243" s="6" t="s">
        <v>11</v>
      </c>
    </row>
    <row r="244" customHeight="1" spans="1:8">
      <c r="A244" s="5" t="str">
        <f>"25782020081909052757"</f>
        <v>25782020081909052757</v>
      </c>
      <c r="B244" s="5" t="s">
        <v>9</v>
      </c>
      <c r="C244" s="5" t="s">
        <v>253</v>
      </c>
      <c r="D244" s="5" t="str">
        <f>"236000012121"</f>
        <v>236000012121</v>
      </c>
      <c r="E244" s="7">
        <v>57.5</v>
      </c>
      <c r="F244" s="7">
        <v>61.5</v>
      </c>
      <c r="G244" s="7">
        <f t="shared" si="4"/>
        <v>71.88</v>
      </c>
      <c r="H244" s="6" t="s">
        <v>13</v>
      </c>
    </row>
    <row r="245" customHeight="1" spans="1:8">
      <c r="A245" s="5" t="str">
        <f>"257820200819103629334"</f>
        <v>257820200819103629334</v>
      </c>
      <c r="B245" s="5" t="s">
        <v>9</v>
      </c>
      <c r="C245" s="5" t="s">
        <v>254</v>
      </c>
      <c r="D245" s="5" t="str">
        <f>"236000012024"</f>
        <v>236000012024</v>
      </c>
      <c r="E245" s="7">
        <v>58</v>
      </c>
      <c r="F245" s="7">
        <v>61</v>
      </c>
      <c r="G245" s="7">
        <f t="shared" si="4"/>
        <v>71.76</v>
      </c>
      <c r="H245" s="6" t="s">
        <v>11</v>
      </c>
    </row>
    <row r="246" customHeight="1" spans="1:8">
      <c r="A246" s="5" t="str">
        <f>"257820200819145217603"</f>
        <v>257820200819145217603</v>
      </c>
      <c r="B246" s="5" t="s">
        <v>9</v>
      </c>
      <c r="C246" s="5" t="s">
        <v>255</v>
      </c>
      <c r="D246" s="5" t="str">
        <f>"236000011014"</f>
        <v>236000011014</v>
      </c>
      <c r="E246" s="7">
        <v>54</v>
      </c>
      <c r="F246" s="7">
        <v>63.5</v>
      </c>
      <c r="G246" s="7">
        <f t="shared" si="4"/>
        <v>71.64</v>
      </c>
      <c r="H246" s="6" t="s">
        <v>13</v>
      </c>
    </row>
    <row r="247" customHeight="1" spans="1:8">
      <c r="A247" s="5" t="str">
        <f>"257820200819100810269"</f>
        <v>257820200819100810269</v>
      </c>
      <c r="B247" s="5" t="s">
        <v>9</v>
      </c>
      <c r="C247" s="5" t="s">
        <v>256</v>
      </c>
      <c r="D247" s="5" t="str">
        <f>"236000011024"</f>
        <v>236000011024</v>
      </c>
      <c r="E247" s="7">
        <v>57</v>
      </c>
      <c r="F247" s="7">
        <v>61.5</v>
      </c>
      <c r="G247" s="7">
        <f t="shared" si="4"/>
        <v>71.64</v>
      </c>
      <c r="H247" s="6" t="s">
        <v>13</v>
      </c>
    </row>
    <row r="248" customHeight="1" spans="1:8">
      <c r="A248" s="5" t="str">
        <f>"2578202008201617031106"</f>
        <v>2578202008201617031106</v>
      </c>
      <c r="B248" s="5" t="s">
        <v>9</v>
      </c>
      <c r="C248" s="5" t="s">
        <v>257</v>
      </c>
      <c r="D248" s="5" t="str">
        <f>"236000010911"</f>
        <v>236000010911</v>
      </c>
      <c r="E248" s="7">
        <v>60</v>
      </c>
      <c r="F248" s="7">
        <v>59.5</v>
      </c>
      <c r="G248" s="7">
        <f t="shared" si="4"/>
        <v>71.64</v>
      </c>
      <c r="H248" s="6" t="s">
        <v>13</v>
      </c>
    </row>
    <row r="249" ht="14" customHeight="1" spans="1:8">
      <c r="A249" s="5" t="str">
        <f>"257820200819202006789"</f>
        <v>257820200819202006789</v>
      </c>
      <c r="B249" s="5" t="s">
        <v>9</v>
      </c>
      <c r="C249" s="5" t="s">
        <v>258</v>
      </c>
      <c r="D249" s="5" t="str">
        <f>"236000010211"</f>
        <v>236000010211</v>
      </c>
      <c r="E249" s="7">
        <v>57.5</v>
      </c>
      <c r="F249" s="7">
        <v>61</v>
      </c>
      <c r="G249" s="7">
        <f t="shared" si="4"/>
        <v>71.52</v>
      </c>
      <c r="H249" s="6" t="s">
        <v>11</v>
      </c>
    </row>
    <row r="250" customHeight="1" spans="1:8">
      <c r="A250" s="5" t="str">
        <f>"257820200819104514352"</f>
        <v>257820200819104514352</v>
      </c>
      <c r="B250" s="5" t="s">
        <v>9</v>
      </c>
      <c r="C250" s="5" t="s">
        <v>259</v>
      </c>
      <c r="D250" s="5" t="str">
        <f>"236000011611"</f>
        <v>236000011611</v>
      </c>
      <c r="E250" s="7">
        <v>53</v>
      </c>
      <c r="F250" s="7">
        <v>64</v>
      </c>
      <c r="G250" s="7">
        <f t="shared" si="4"/>
        <v>71.52</v>
      </c>
      <c r="H250" s="6" t="s">
        <v>13</v>
      </c>
    </row>
    <row r="251" customHeight="1" spans="1:8">
      <c r="A251" s="5" t="str">
        <f>"2578202008211001131299"</f>
        <v>2578202008211001131299</v>
      </c>
      <c r="B251" s="5" t="s">
        <v>9</v>
      </c>
      <c r="C251" s="5" t="s">
        <v>260</v>
      </c>
      <c r="D251" s="5" t="str">
        <f>"236000011702"</f>
        <v>236000011702</v>
      </c>
      <c r="E251" s="7">
        <v>50.5</v>
      </c>
      <c r="F251" s="7">
        <v>65.5</v>
      </c>
      <c r="G251" s="7">
        <f t="shared" si="4"/>
        <v>71.4</v>
      </c>
      <c r="H251" s="6" t="s">
        <v>11</v>
      </c>
    </row>
    <row r="252" customHeight="1" spans="1:8">
      <c r="A252" s="5" t="str">
        <f>"2578202008202011161190"</f>
        <v>2578202008202011161190</v>
      </c>
      <c r="B252" s="5" t="s">
        <v>9</v>
      </c>
      <c r="C252" s="5" t="s">
        <v>261</v>
      </c>
      <c r="D252" s="5" t="str">
        <f>"236000012114"</f>
        <v>236000012114</v>
      </c>
      <c r="E252" s="7">
        <v>56.5</v>
      </c>
      <c r="F252" s="7">
        <v>61.5</v>
      </c>
      <c r="G252" s="7">
        <f t="shared" si="4"/>
        <v>71.4</v>
      </c>
      <c r="H252" s="6" t="s">
        <v>13</v>
      </c>
    </row>
    <row r="253" customHeight="1" spans="1:8">
      <c r="A253" s="5" t="str">
        <f>"257820200819100235253"</f>
        <v>257820200819100235253</v>
      </c>
      <c r="B253" s="5" t="s">
        <v>9</v>
      </c>
      <c r="C253" s="5" t="s">
        <v>262</v>
      </c>
      <c r="D253" s="5" t="str">
        <f>"236000012404"</f>
        <v>236000012404</v>
      </c>
      <c r="E253" s="7">
        <v>59.5</v>
      </c>
      <c r="F253" s="7">
        <v>59.5</v>
      </c>
      <c r="G253" s="7">
        <f t="shared" si="4"/>
        <v>71.4</v>
      </c>
      <c r="H253" s="6" t="s">
        <v>13</v>
      </c>
    </row>
    <row r="254" customHeight="1" spans="1:8">
      <c r="A254" s="5" t="str">
        <f>"2578202008210926481286"</f>
        <v>2578202008210926481286</v>
      </c>
      <c r="B254" s="5" t="s">
        <v>9</v>
      </c>
      <c r="C254" s="5" t="s">
        <v>263</v>
      </c>
      <c r="D254" s="5" t="str">
        <f>"236000011009"</f>
        <v>236000011009</v>
      </c>
      <c r="E254" s="7">
        <v>52.5</v>
      </c>
      <c r="F254" s="7">
        <v>64</v>
      </c>
      <c r="G254" s="7">
        <f t="shared" si="4"/>
        <v>71.28</v>
      </c>
      <c r="H254" s="6" t="s">
        <v>13</v>
      </c>
    </row>
    <row r="255" customHeight="1" spans="1:8">
      <c r="A255" s="5" t="str">
        <f>"257820200819095425233"</f>
        <v>257820200819095425233</v>
      </c>
      <c r="B255" s="5" t="s">
        <v>9</v>
      </c>
      <c r="C255" s="5" t="s">
        <v>264</v>
      </c>
      <c r="D255" s="5" t="str">
        <f>"236000011820"</f>
        <v>236000011820</v>
      </c>
      <c r="E255" s="7">
        <v>52.5</v>
      </c>
      <c r="F255" s="7">
        <v>64</v>
      </c>
      <c r="G255" s="7">
        <f t="shared" si="4"/>
        <v>71.28</v>
      </c>
      <c r="H255" s="6" t="s">
        <v>13</v>
      </c>
    </row>
    <row r="256" customHeight="1" spans="1:8">
      <c r="A256" s="5" t="str">
        <f>"257820200819161353645"</f>
        <v>257820200819161353645</v>
      </c>
      <c r="B256" s="5" t="s">
        <v>9</v>
      </c>
      <c r="C256" s="5" t="s">
        <v>265</v>
      </c>
      <c r="D256" s="5" t="str">
        <f>"236000011918"</f>
        <v>236000011918</v>
      </c>
      <c r="E256" s="7">
        <v>53</v>
      </c>
      <c r="F256" s="7">
        <v>63.5</v>
      </c>
      <c r="G256" s="7">
        <f t="shared" si="4"/>
        <v>71.16</v>
      </c>
      <c r="H256" s="6" t="s">
        <v>13</v>
      </c>
    </row>
    <row r="257" customHeight="1" spans="1:8">
      <c r="A257" s="5" t="str">
        <f>"2578202008201436321063"</f>
        <v>2578202008201436321063</v>
      </c>
      <c r="B257" s="5" t="s">
        <v>9</v>
      </c>
      <c r="C257" s="5" t="s">
        <v>266</v>
      </c>
      <c r="D257" s="5" t="str">
        <f>"236000010708"</f>
        <v>236000010708</v>
      </c>
      <c r="E257" s="7">
        <v>51.5</v>
      </c>
      <c r="F257" s="7">
        <v>64.5</v>
      </c>
      <c r="G257" s="7">
        <f t="shared" si="4"/>
        <v>71.16</v>
      </c>
      <c r="H257" s="6" t="s">
        <v>11</v>
      </c>
    </row>
    <row r="258" customHeight="1" spans="1:8">
      <c r="A258" s="5" t="str">
        <f>"257820200819112612423"</f>
        <v>257820200819112612423</v>
      </c>
      <c r="B258" s="5" t="s">
        <v>9</v>
      </c>
      <c r="C258" s="5" t="s">
        <v>267</v>
      </c>
      <c r="D258" s="5" t="str">
        <f>"236000011529"</f>
        <v>236000011529</v>
      </c>
      <c r="E258" s="7">
        <v>59.5</v>
      </c>
      <c r="F258" s="7">
        <v>59</v>
      </c>
      <c r="G258" s="7">
        <f t="shared" si="4"/>
        <v>71.04</v>
      </c>
      <c r="H258" s="6" t="s">
        <v>13</v>
      </c>
    </row>
    <row r="259" customHeight="1" spans="1:8">
      <c r="A259" s="5" t="str">
        <f>"257820200819171107682"</f>
        <v>257820200819171107682</v>
      </c>
      <c r="B259" s="5" t="s">
        <v>9</v>
      </c>
      <c r="C259" s="5" t="s">
        <v>268</v>
      </c>
      <c r="D259" s="5" t="str">
        <f>"236000011824"</f>
        <v>236000011824</v>
      </c>
      <c r="E259" s="7">
        <v>61</v>
      </c>
      <c r="F259" s="7">
        <v>58</v>
      </c>
      <c r="G259" s="7">
        <f t="shared" ref="G259:G322" si="5">E259*1.2*0.4+F259*1.2*0.6</f>
        <v>71.04</v>
      </c>
      <c r="H259" s="6" t="s">
        <v>13</v>
      </c>
    </row>
    <row r="260" customHeight="1" spans="1:8">
      <c r="A260" s="5" t="str">
        <f>"2578202008202003001188"</f>
        <v>2578202008202003001188</v>
      </c>
      <c r="B260" s="5" t="s">
        <v>9</v>
      </c>
      <c r="C260" s="5" t="s">
        <v>269</v>
      </c>
      <c r="D260" s="5" t="str">
        <f>"236000011921"</f>
        <v>236000011921</v>
      </c>
      <c r="E260" s="7">
        <v>52</v>
      </c>
      <c r="F260" s="7">
        <v>64</v>
      </c>
      <c r="G260" s="7">
        <f t="shared" si="5"/>
        <v>71.04</v>
      </c>
      <c r="H260" s="6" t="s">
        <v>13</v>
      </c>
    </row>
    <row r="261" customHeight="1" spans="1:8">
      <c r="A261" s="5" t="str">
        <f>"257820200819095511238"</f>
        <v>257820200819095511238</v>
      </c>
      <c r="B261" s="5" t="s">
        <v>9</v>
      </c>
      <c r="C261" s="5" t="s">
        <v>270</v>
      </c>
      <c r="D261" s="5" t="str">
        <f>"236000011307"</f>
        <v>236000011307</v>
      </c>
      <c r="E261" s="7">
        <v>59</v>
      </c>
      <c r="F261" s="7">
        <v>59</v>
      </c>
      <c r="G261" s="7">
        <f t="shared" si="5"/>
        <v>70.8</v>
      </c>
      <c r="H261" s="6" t="s">
        <v>11</v>
      </c>
    </row>
    <row r="262" customHeight="1" spans="1:8">
      <c r="A262" s="5" t="str">
        <f>"257820200819120954475"</f>
        <v>257820200819120954475</v>
      </c>
      <c r="B262" s="5" t="s">
        <v>9</v>
      </c>
      <c r="C262" s="5" t="s">
        <v>271</v>
      </c>
      <c r="D262" s="5" t="str">
        <f>"236000010310"</f>
        <v>236000010310</v>
      </c>
      <c r="E262" s="7">
        <v>53.5</v>
      </c>
      <c r="F262" s="7">
        <v>62.5</v>
      </c>
      <c r="G262" s="7">
        <f t="shared" si="5"/>
        <v>70.68</v>
      </c>
      <c r="H262" s="6" t="s">
        <v>13</v>
      </c>
    </row>
    <row r="263" customHeight="1" spans="1:8">
      <c r="A263" s="5" t="str">
        <f>"257820200819091921119"</f>
        <v>257820200819091921119</v>
      </c>
      <c r="B263" s="5" t="s">
        <v>9</v>
      </c>
      <c r="C263" s="5" t="s">
        <v>272</v>
      </c>
      <c r="D263" s="5" t="str">
        <f>"236000011727"</f>
        <v>236000011727</v>
      </c>
      <c r="E263" s="7">
        <v>61</v>
      </c>
      <c r="F263" s="7">
        <v>57.5</v>
      </c>
      <c r="G263" s="7">
        <f t="shared" si="5"/>
        <v>70.68</v>
      </c>
      <c r="H263" s="6" t="s">
        <v>11</v>
      </c>
    </row>
    <row r="264" customHeight="1" spans="1:8">
      <c r="A264" s="5" t="str">
        <f>"257820200820102530961"</f>
        <v>257820200820102530961</v>
      </c>
      <c r="B264" s="5" t="s">
        <v>9</v>
      </c>
      <c r="C264" s="5" t="s">
        <v>273</v>
      </c>
      <c r="D264" s="5" t="str">
        <f>"236000010923"</f>
        <v>236000010923</v>
      </c>
      <c r="E264" s="7">
        <v>50.5</v>
      </c>
      <c r="F264" s="7">
        <v>64.5</v>
      </c>
      <c r="G264" s="7">
        <f t="shared" si="5"/>
        <v>70.68</v>
      </c>
      <c r="H264" s="6" t="s">
        <v>13</v>
      </c>
    </row>
    <row r="265" customHeight="1" spans="1:8">
      <c r="A265" s="5" t="str">
        <f>"257820200819114219443"</f>
        <v>257820200819114219443</v>
      </c>
      <c r="B265" s="5" t="s">
        <v>9</v>
      </c>
      <c r="C265" s="5" t="s">
        <v>274</v>
      </c>
      <c r="D265" s="5" t="str">
        <f>"236000012126"</f>
        <v>236000012126</v>
      </c>
      <c r="E265" s="7">
        <v>62.5</v>
      </c>
      <c r="F265" s="7">
        <v>56.5</v>
      </c>
      <c r="G265" s="7">
        <f t="shared" si="5"/>
        <v>70.68</v>
      </c>
      <c r="H265" s="6" t="s">
        <v>13</v>
      </c>
    </row>
    <row r="266" customHeight="1" spans="1:8">
      <c r="A266" s="5" t="str">
        <f>"2578202008202007101189"</f>
        <v>2578202008202007101189</v>
      </c>
      <c r="B266" s="5" t="s">
        <v>9</v>
      </c>
      <c r="C266" s="5" t="s">
        <v>275</v>
      </c>
      <c r="D266" s="5" t="str">
        <f>"236000010505"</f>
        <v>236000010505</v>
      </c>
      <c r="E266" s="7">
        <v>55.5</v>
      </c>
      <c r="F266" s="7">
        <v>61</v>
      </c>
      <c r="G266" s="7">
        <f t="shared" si="5"/>
        <v>70.56</v>
      </c>
      <c r="H266" s="6" t="s">
        <v>13</v>
      </c>
    </row>
    <row r="267" customHeight="1" spans="1:8">
      <c r="A267" s="5" t="str">
        <f>"25782020081909084171"</f>
        <v>25782020081909084171</v>
      </c>
      <c r="B267" s="5" t="s">
        <v>9</v>
      </c>
      <c r="C267" s="5" t="s">
        <v>276</v>
      </c>
      <c r="D267" s="5" t="str">
        <f>"236000012410"</f>
        <v>236000012410</v>
      </c>
      <c r="E267" s="7">
        <v>58.5</v>
      </c>
      <c r="F267" s="7">
        <v>59</v>
      </c>
      <c r="G267" s="7">
        <f t="shared" si="5"/>
        <v>70.56</v>
      </c>
      <c r="H267" s="6" t="s">
        <v>13</v>
      </c>
    </row>
    <row r="268" customHeight="1" spans="1:8">
      <c r="A268" s="5" t="str">
        <f>"257820200819172635687"</f>
        <v>257820200819172635687</v>
      </c>
      <c r="B268" s="5" t="s">
        <v>9</v>
      </c>
      <c r="C268" s="5" t="s">
        <v>277</v>
      </c>
      <c r="D268" s="5" t="str">
        <f>"236000010823"</f>
        <v>236000010823</v>
      </c>
      <c r="E268" s="7">
        <v>60.5</v>
      </c>
      <c r="F268" s="7">
        <v>57.5</v>
      </c>
      <c r="G268" s="7">
        <f t="shared" si="5"/>
        <v>70.44</v>
      </c>
      <c r="H268" s="6" t="s">
        <v>11</v>
      </c>
    </row>
    <row r="269" customHeight="1" spans="1:8">
      <c r="A269" s="5" t="str">
        <f>"257820200819093028162"</f>
        <v>257820200819093028162</v>
      </c>
      <c r="B269" s="5" t="s">
        <v>9</v>
      </c>
      <c r="C269" s="5" t="s">
        <v>278</v>
      </c>
      <c r="D269" s="5" t="str">
        <f>"236000012017"</f>
        <v>236000012017</v>
      </c>
      <c r="E269" s="7">
        <v>52</v>
      </c>
      <c r="F269" s="7">
        <v>63</v>
      </c>
      <c r="G269" s="7">
        <f t="shared" si="5"/>
        <v>70.32</v>
      </c>
      <c r="H269" s="6" t="s">
        <v>13</v>
      </c>
    </row>
    <row r="270" customHeight="1" spans="1:8">
      <c r="A270" s="5" t="str">
        <f>"2578202008201200541011"</f>
        <v>2578202008201200541011</v>
      </c>
      <c r="B270" s="5" t="s">
        <v>9</v>
      </c>
      <c r="C270" s="5" t="s">
        <v>279</v>
      </c>
      <c r="D270" s="5" t="str">
        <f>"236000011102"</f>
        <v>236000011102</v>
      </c>
      <c r="E270" s="7">
        <v>60</v>
      </c>
      <c r="F270" s="7">
        <v>57.5</v>
      </c>
      <c r="G270" s="7">
        <f t="shared" si="5"/>
        <v>70.2</v>
      </c>
      <c r="H270" s="6" t="s">
        <v>11</v>
      </c>
    </row>
    <row r="271" customHeight="1" spans="1:8">
      <c r="A271" s="5" t="str">
        <f>"2578202008211851001448"</f>
        <v>2578202008211851001448</v>
      </c>
      <c r="B271" s="5" t="s">
        <v>9</v>
      </c>
      <c r="C271" s="5" t="s">
        <v>280</v>
      </c>
      <c r="D271" s="5" t="str">
        <f>"236000011415"</f>
        <v>236000011415</v>
      </c>
      <c r="E271" s="7">
        <v>60.5</v>
      </c>
      <c r="F271" s="7">
        <v>57</v>
      </c>
      <c r="G271" s="7">
        <f t="shared" si="5"/>
        <v>70.08</v>
      </c>
      <c r="H271" s="6" t="s">
        <v>11</v>
      </c>
    </row>
    <row r="272" customHeight="1" spans="1:8">
      <c r="A272" s="5" t="str">
        <f>"257820200819124838508"</f>
        <v>257820200819124838508</v>
      </c>
      <c r="B272" s="5" t="s">
        <v>9</v>
      </c>
      <c r="C272" s="5" t="s">
        <v>281</v>
      </c>
      <c r="D272" s="5" t="str">
        <f>"236000010109"</f>
        <v>236000010109</v>
      </c>
      <c r="E272" s="7">
        <v>46.5</v>
      </c>
      <c r="F272" s="7">
        <v>66</v>
      </c>
      <c r="G272" s="7">
        <f t="shared" si="5"/>
        <v>69.84</v>
      </c>
      <c r="H272" s="6" t="s">
        <v>13</v>
      </c>
    </row>
    <row r="273" customHeight="1" spans="1:8">
      <c r="A273" s="5" t="str">
        <f>"257820200819091518102"</f>
        <v>257820200819091518102</v>
      </c>
      <c r="B273" s="5" t="s">
        <v>9</v>
      </c>
      <c r="C273" s="5" t="s">
        <v>282</v>
      </c>
      <c r="D273" s="5" t="str">
        <f>"236000011007"</f>
        <v>236000011007</v>
      </c>
      <c r="E273" s="7">
        <v>57</v>
      </c>
      <c r="F273" s="7">
        <v>59</v>
      </c>
      <c r="G273" s="7">
        <f t="shared" si="5"/>
        <v>69.84</v>
      </c>
      <c r="H273" s="6" t="s">
        <v>11</v>
      </c>
    </row>
    <row r="274" customHeight="1" spans="1:8">
      <c r="A274" s="5" t="str">
        <f>"257820200819194539767"</f>
        <v>257820200819194539767</v>
      </c>
      <c r="B274" s="5" t="s">
        <v>9</v>
      </c>
      <c r="C274" s="5" t="s">
        <v>283</v>
      </c>
      <c r="D274" s="5" t="str">
        <f>"236000011322"</f>
        <v>236000011322</v>
      </c>
      <c r="E274" s="7">
        <v>58.5</v>
      </c>
      <c r="F274" s="7">
        <v>58</v>
      </c>
      <c r="G274" s="7">
        <f t="shared" si="5"/>
        <v>69.84</v>
      </c>
      <c r="H274" s="6" t="s">
        <v>11</v>
      </c>
    </row>
    <row r="275" customHeight="1" spans="1:8">
      <c r="A275" s="5" t="str">
        <f>"257820200819100659266"</f>
        <v>257820200819100659266</v>
      </c>
      <c r="B275" s="5" t="s">
        <v>9</v>
      </c>
      <c r="C275" s="5" t="s">
        <v>284</v>
      </c>
      <c r="D275" s="5" t="str">
        <f>"236000010718"</f>
        <v>236000010718</v>
      </c>
      <c r="E275" s="7">
        <v>47</v>
      </c>
      <c r="F275" s="7">
        <v>65.5</v>
      </c>
      <c r="G275" s="7">
        <f t="shared" si="5"/>
        <v>69.72</v>
      </c>
      <c r="H275" s="6" t="s">
        <v>13</v>
      </c>
    </row>
    <row r="276" customHeight="1" spans="1:8">
      <c r="A276" s="5" t="str">
        <f>"257820200820074256888"</f>
        <v>257820200820074256888</v>
      </c>
      <c r="B276" s="5" t="s">
        <v>9</v>
      </c>
      <c r="C276" s="5" t="s">
        <v>285</v>
      </c>
      <c r="D276" s="5" t="str">
        <f>"236000012225"</f>
        <v>236000012225</v>
      </c>
      <c r="E276" s="7">
        <v>52</v>
      </c>
      <c r="F276" s="7">
        <v>62</v>
      </c>
      <c r="G276" s="7">
        <f t="shared" si="5"/>
        <v>69.6</v>
      </c>
      <c r="H276" s="6" t="s">
        <v>13</v>
      </c>
    </row>
    <row r="277" customHeight="1" spans="1:8">
      <c r="A277" s="5" t="str">
        <f>"2578202008201148581008"</f>
        <v>2578202008201148581008</v>
      </c>
      <c r="B277" s="5" t="s">
        <v>9</v>
      </c>
      <c r="C277" s="5" t="s">
        <v>286</v>
      </c>
      <c r="D277" s="5" t="str">
        <f>"236000010701"</f>
        <v>236000010701</v>
      </c>
      <c r="E277" s="7">
        <v>64.5</v>
      </c>
      <c r="F277" s="7">
        <v>53.5</v>
      </c>
      <c r="G277" s="7">
        <f t="shared" si="5"/>
        <v>69.48</v>
      </c>
      <c r="H277" s="6" t="s">
        <v>11</v>
      </c>
    </row>
    <row r="278" customHeight="1" spans="1:8">
      <c r="A278" s="5" t="str">
        <f>"257820200819155427633"</f>
        <v>257820200819155427633</v>
      </c>
      <c r="B278" s="5" t="s">
        <v>9</v>
      </c>
      <c r="C278" s="5" t="s">
        <v>287</v>
      </c>
      <c r="D278" s="5" t="str">
        <f>"236000011718"</f>
        <v>236000011718</v>
      </c>
      <c r="E278" s="7">
        <v>55.5</v>
      </c>
      <c r="F278" s="7">
        <v>59.5</v>
      </c>
      <c r="G278" s="7">
        <f t="shared" si="5"/>
        <v>69.48</v>
      </c>
      <c r="H278" s="6" t="s">
        <v>11</v>
      </c>
    </row>
    <row r="279" customHeight="1" spans="1:8">
      <c r="A279" s="5" t="str">
        <f>"257820200819185235733"</f>
        <v>257820200819185235733</v>
      </c>
      <c r="B279" s="5" t="s">
        <v>9</v>
      </c>
      <c r="C279" s="5" t="s">
        <v>288</v>
      </c>
      <c r="D279" s="5" t="str">
        <f>"236000012224"</f>
        <v>236000012224</v>
      </c>
      <c r="E279" s="7">
        <v>52.5</v>
      </c>
      <c r="F279" s="7">
        <v>61.5</v>
      </c>
      <c r="G279" s="7">
        <f t="shared" si="5"/>
        <v>69.48</v>
      </c>
      <c r="H279" s="6" t="s">
        <v>11</v>
      </c>
    </row>
    <row r="280" customHeight="1" spans="1:8">
      <c r="A280" s="5" t="str">
        <f>"257820200819195646778"</f>
        <v>257820200819195646778</v>
      </c>
      <c r="B280" s="5" t="s">
        <v>9</v>
      </c>
      <c r="C280" s="5" t="s">
        <v>96</v>
      </c>
      <c r="D280" s="5" t="str">
        <f>"236000010528"</f>
        <v>236000010528</v>
      </c>
      <c r="E280" s="7">
        <v>53</v>
      </c>
      <c r="F280" s="7">
        <v>61</v>
      </c>
      <c r="G280" s="7">
        <f t="shared" si="5"/>
        <v>69.36</v>
      </c>
      <c r="H280" s="6" t="s">
        <v>11</v>
      </c>
    </row>
    <row r="281" customHeight="1" spans="1:8">
      <c r="A281" s="5" t="str">
        <f>"257820200819212038824"</f>
        <v>257820200819212038824</v>
      </c>
      <c r="B281" s="5" t="s">
        <v>9</v>
      </c>
      <c r="C281" s="5" t="s">
        <v>289</v>
      </c>
      <c r="D281" s="5" t="str">
        <f>"236000011212"</f>
        <v>236000011212</v>
      </c>
      <c r="E281" s="7">
        <v>50</v>
      </c>
      <c r="F281" s="7">
        <v>63</v>
      </c>
      <c r="G281" s="7">
        <f t="shared" si="5"/>
        <v>69.36</v>
      </c>
      <c r="H281" s="6" t="s">
        <v>11</v>
      </c>
    </row>
    <row r="282" customHeight="1" spans="1:8">
      <c r="A282" s="5" t="str">
        <f>"257820200819124332503"</f>
        <v>257820200819124332503</v>
      </c>
      <c r="B282" s="5" t="s">
        <v>9</v>
      </c>
      <c r="C282" s="5" t="s">
        <v>290</v>
      </c>
      <c r="D282" s="5" t="str">
        <f>"236000011729"</f>
        <v>236000011729</v>
      </c>
      <c r="E282" s="7">
        <v>54.5</v>
      </c>
      <c r="F282" s="7">
        <v>60</v>
      </c>
      <c r="G282" s="7">
        <f t="shared" si="5"/>
        <v>69.36</v>
      </c>
      <c r="H282" s="6" t="s">
        <v>11</v>
      </c>
    </row>
    <row r="283" customHeight="1" spans="1:8">
      <c r="A283" s="5" t="str">
        <f>"2578202008201302241038"</f>
        <v>2578202008201302241038</v>
      </c>
      <c r="B283" s="5" t="s">
        <v>9</v>
      </c>
      <c r="C283" s="5" t="s">
        <v>291</v>
      </c>
      <c r="D283" s="5" t="str">
        <f>"236000010210"</f>
        <v>236000010210</v>
      </c>
      <c r="E283" s="7">
        <v>52</v>
      </c>
      <c r="F283" s="7">
        <v>61.5</v>
      </c>
      <c r="G283" s="7">
        <f t="shared" si="5"/>
        <v>69.24</v>
      </c>
      <c r="H283" s="6" t="s">
        <v>13</v>
      </c>
    </row>
    <row r="284" customHeight="1" spans="1:8">
      <c r="A284" s="5" t="str">
        <f>"257820200819134156554"</f>
        <v>257820200819134156554</v>
      </c>
      <c r="B284" s="5" t="s">
        <v>9</v>
      </c>
      <c r="C284" s="5" t="s">
        <v>292</v>
      </c>
      <c r="D284" s="5" t="str">
        <f>"236000011518"</f>
        <v>236000011518</v>
      </c>
      <c r="E284" s="7">
        <v>56.5</v>
      </c>
      <c r="F284" s="7">
        <v>58.5</v>
      </c>
      <c r="G284" s="7">
        <f t="shared" si="5"/>
        <v>69.24</v>
      </c>
      <c r="H284" s="6" t="s">
        <v>13</v>
      </c>
    </row>
    <row r="285" customHeight="1" spans="1:8">
      <c r="A285" s="5" t="str">
        <f>"2578202008201557331098"</f>
        <v>2578202008201557331098</v>
      </c>
      <c r="B285" s="5" t="s">
        <v>9</v>
      </c>
      <c r="C285" s="5" t="s">
        <v>293</v>
      </c>
      <c r="D285" s="5" t="str">
        <f>"236000012124"</f>
        <v>236000012124</v>
      </c>
      <c r="E285" s="7">
        <v>53.5</v>
      </c>
      <c r="F285" s="7">
        <v>60.5</v>
      </c>
      <c r="G285" s="7">
        <f t="shared" si="5"/>
        <v>69.24</v>
      </c>
      <c r="H285" s="6" t="s">
        <v>13</v>
      </c>
    </row>
    <row r="286" customHeight="1" spans="1:8">
      <c r="A286" s="5" t="str">
        <f>"257820200820100745949"</f>
        <v>257820200820100745949</v>
      </c>
      <c r="B286" s="5" t="s">
        <v>9</v>
      </c>
      <c r="C286" s="5" t="s">
        <v>294</v>
      </c>
      <c r="D286" s="5" t="str">
        <f>"236000010508"</f>
        <v>236000010508</v>
      </c>
      <c r="E286" s="7">
        <v>54.5</v>
      </c>
      <c r="F286" s="7">
        <v>59.5</v>
      </c>
      <c r="G286" s="7">
        <f t="shared" si="5"/>
        <v>69</v>
      </c>
      <c r="H286" s="6" t="s">
        <v>13</v>
      </c>
    </row>
    <row r="287" customHeight="1" spans="1:8">
      <c r="A287" s="5" t="str">
        <f>"257820200819184638727"</f>
        <v>257820200819184638727</v>
      </c>
      <c r="B287" s="5" t="s">
        <v>9</v>
      </c>
      <c r="C287" s="5" t="s">
        <v>295</v>
      </c>
      <c r="D287" s="5" t="str">
        <f>"236000010824"</f>
        <v>236000010824</v>
      </c>
      <c r="E287" s="7">
        <v>54.5</v>
      </c>
      <c r="F287" s="7">
        <v>59.5</v>
      </c>
      <c r="G287" s="7">
        <f t="shared" si="5"/>
        <v>69</v>
      </c>
      <c r="H287" s="6" t="s">
        <v>11</v>
      </c>
    </row>
    <row r="288" customHeight="1" spans="1:8">
      <c r="A288" s="5" t="str">
        <f>"257820200820103645969"</f>
        <v>257820200820103645969</v>
      </c>
      <c r="B288" s="5" t="s">
        <v>9</v>
      </c>
      <c r="C288" s="5" t="s">
        <v>296</v>
      </c>
      <c r="D288" s="5" t="str">
        <f>"236000011016"</f>
        <v>236000011016</v>
      </c>
      <c r="E288" s="7">
        <v>56</v>
      </c>
      <c r="F288" s="7">
        <v>58.5</v>
      </c>
      <c r="G288" s="7">
        <f t="shared" si="5"/>
        <v>69</v>
      </c>
      <c r="H288" s="6" t="s">
        <v>13</v>
      </c>
    </row>
    <row r="289" customHeight="1" spans="1:8">
      <c r="A289" s="5" t="str">
        <f>"257820200819203557797"</f>
        <v>257820200819203557797</v>
      </c>
      <c r="B289" s="5" t="s">
        <v>9</v>
      </c>
      <c r="C289" s="5" t="s">
        <v>297</v>
      </c>
      <c r="D289" s="5" t="str">
        <f>"236000011207"</f>
        <v>236000011207</v>
      </c>
      <c r="E289" s="7">
        <v>57.5</v>
      </c>
      <c r="F289" s="7">
        <v>57.5</v>
      </c>
      <c r="G289" s="7">
        <f t="shared" si="5"/>
        <v>69</v>
      </c>
      <c r="H289" s="6" t="s">
        <v>13</v>
      </c>
    </row>
    <row r="290" customHeight="1" spans="1:8">
      <c r="A290" s="5" t="str">
        <f>"257820200820095714940"</f>
        <v>257820200820095714940</v>
      </c>
      <c r="B290" s="5" t="s">
        <v>9</v>
      </c>
      <c r="C290" s="5" t="s">
        <v>298</v>
      </c>
      <c r="D290" s="5" t="str">
        <f>"236000012328"</f>
        <v>236000012328</v>
      </c>
      <c r="E290" s="7">
        <v>52</v>
      </c>
      <c r="F290" s="7">
        <v>61</v>
      </c>
      <c r="G290" s="7">
        <f t="shared" si="5"/>
        <v>68.88</v>
      </c>
      <c r="H290" s="6" t="s">
        <v>11</v>
      </c>
    </row>
    <row r="291" customHeight="1" spans="1:8">
      <c r="A291" s="5" t="str">
        <f>"2578202008212216261493"</f>
        <v>2578202008212216261493</v>
      </c>
      <c r="B291" s="5" t="s">
        <v>9</v>
      </c>
      <c r="C291" s="5" t="s">
        <v>299</v>
      </c>
      <c r="D291" s="5" t="str">
        <f>"236000012419"</f>
        <v>236000012419</v>
      </c>
      <c r="E291" s="7">
        <v>59.5</v>
      </c>
      <c r="F291" s="7">
        <v>56</v>
      </c>
      <c r="G291" s="7">
        <f t="shared" si="5"/>
        <v>68.88</v>
      </c>
      <c r="H291" s="6" t="s">
        <v>11</v>
      </c>
    </row>
    <row r="292" customHeight="1" spans="1:8">
      <c r="A292" s="5" t="str">
        <f>"257820200819131802537"</f>
        <v>257820200819131802537</v>
      </c>
      <c r="B292" s="5" t="s">
        <v>9</v>
      </c>
      <c r="C292" s="5" t="s">
        <v>300</v>
      </c>
      <c r="D292" s="5" t="str">
        <f>"236000011907"</f>
        <v>236000011907</v>
      </c>
      <c r="E292" s="7">
        <v>56.5</v>
      </c>
      <c r="F292" s="7">
        <v>58</v>
      </c>
      <c r="G292" s="7">
        <f t="shared" si="5"/>
        <v>68.88</v>
      </c>
      <c r="H292" s="6" t="s">
        <v>13</v>
      </c>
    </row>
    <row r="293" customHeight="1" spans="1:8">
      <c r="A293" s="5" t="str">
        <f>"257820200819092311135"</f>
        <v>257820200819092311135</v>
      </c>
      <c r="B293" s="5" t="s">
        <v>9</v>
      </c>
      <c r="C293" s="5" t="s">
        <v>301</v>
      </c>
      <c r="D293" s="5" t="str">
        <f>"236000010325"</f>
        <v>236000010325</v>
      </c>
      <c r="E293" s="7">
        <v>48</v>
      </c>
      <c r="F293" s="7">
        <v>63.5</v>
      </c>
      <c r="G293" s="7">
        <f t="shared" si="5"/>
        <v>68.76</v>
      </c>
      <c r="H293" s="6" t="s">
        <v>13</v>
      </c>
    </row>
    <row r="294" customHeight="1" spans="1:8">
      <c r="A294" s="5" t="str">
        <f>"257820200820110051984"</f>
        <v>257820200820110051984</v>
      </c>
      <c r="B294" s="5" t="s">
        <v>9</v>
      </c>
      <c r="C294" s="5" t="s">
        <v>302</v>
      </c>
      <c r="D294" s="5" t="str">
        <f>"236000010307"</f>
        <v>236000010307</v>
      </c>
      <c r="E294" s="7">
        <v>60</v>
      </c>
      <c r="F294" s="7">
        <v>55.5</v>
      </c>
      <c r="G294" s="7">
        <f t="shared" si="5"/>
        <v>68.76</v>
      </c>
      <c r="H294" s="6" t="s">
        <v>13</v>
      </c>
    </row>
    <row r="295" customHeight="1" spans="1:8">
      <c r="A295" s="5" t="str">
        <f>"257820200819102834316"</f>
        <v>257820200819102834316</v>
      </c>
      <c r="B295" s="5" t="s">
        <v>9</v>
      </c>
      <c r="C295" s="5" t="s">
        <v>303</v>
      </c>
      <c r="D295" s="5" t="str">
        <f>"236000011028"</f>
        <v>236000011028</v>
      </c>
      <c r="E295" s="7">
        <v>57</v>
      </c>
      <c r="F295" s="7">
        <v>57.5</v>
      </c>
      <c r="G295" s="7">
        <f t="shared" si="5"/>
        <v>68.76</v>
      </c>
      <c r="H295" s="6" t="s">
        <v>13</v>
      </c>
    </row>
    <row r="296" customHeight="1" spans="1:8">
      <c r="A296" s="5" t="str">
        <f>"257820200819092359139"</f>
        <v>257820200819092359139</v>
      </c>
      <c r="B296" s="5" t="s">
        <v>9</v>
      </c>
      <c r="C296" s="5" t="s">
        <v>304</v>
      </c>
      <c r="D296" s="5" t="str">
        <f>"236000010221"</f>
        <v>236000010221</v>
      </c>
      <c r="E296" s="7">
        <v>51.5</v>
      </c>
      <c r="F296" s="7">
        <v>61</v>
      </c>
      <c r="G296" s="7">
        <f t="shared" si="5"/>
        <v>68.64</v>
      </c>
      <c r="H296" s="6" t="s">
        <v>11</v>
      </c>
    </row>
    <row r="297" customHeight="1" spans="1:8">
      <c r="A297" s="5" t="str">
        <f>"25782020081909121589"</f>
        <v>25782020081909121589</v>
      </c>
      <c r="B297" s="5" t="s">
        <v>9</v>
      </c>
      <c r="C297" s="5" t="s">
        <v>305</v>
      </c>
      <c r="D297" s="5" t="str">
        <f>"236000012118"</f>
        <v>236000012118</v>
      </c>
      <c r="E297" s="7">
        <v>50</v>
      </c>
      <c r="F297" s="7">
        <v>62</v>
      </c>
      <c r="G297" s="7">
        <f t="shared" si="5"/>
        <v>68.64</v>
      </c>
      <c r="H297" s="6" t="s">
        <v>13</v>
      </c>
    </row>
    <row r="298" customHeight="1" spans="1:8">
      <c r="A298" s="5" t="str">
        <f>"257820200819113516432"</f>
        <v>257820200819113516432</v>
      </c>
      <c r="B298" s="5" t="s">
        <v>9</v>
      </c>
      <c r="C298" s="5" t="s">
        <v>306</v>
      </c>
      <c r="D298" s="5" t="str">
        <f>"236000012413"</f>
        <v>236000012413</v>
      </c>
      <c r="E298" s="7">
        <v>58</v>
      </c>
      <c r="F298" s="7">
        <v>56.5</v>
      </c>
      <c r="G298" s="7">
        <f t="shared" si="5"/>
        <v>68.52</v>
      </c>
      <c r="H298" s="6" t="s">
        <v>13</v>
      </c>
    </row>
    <row r="299" customHeight="1" spans="1:8">
      <c r="A299" s="5" t="str">
        <f>"2578202008201730271138"</f>
        <v>2578202008201730271138</v>
      </c>
      <c r="B299" s="5" t="s">
        <v>9</v>
      </c>
      <c r="C299" s="5" t="s">
        <v>307</v>
      </c>
      <c r="D299" s="5" t="str">
        <f>"236000011229"</f>
        <v>236000011229</v>
      </c>
      <c r="E299" s="7">
        <v>52</v>
      </c>
      <c r="F299" s="7">
        <v>60.5</v>
      </c>
      <c r="G299" s="7">
        <f t="shared" si="5"/>
        <v>68.52</v>
      </c>
      <c r="H299" s="6" t="s">
        <v>13</v>
      </c>
    </row>
    <row r="300" customHeight="1" spans="1:8">
      <c r="A300" s="5" t="str">
        <f>"2578202008190901127"</f>
        <v>2578202008190901127</v>
      </c>
      <c r="B300" s="5" t="s">
        <v>9</v>
      </c>
      <c r="C300" s="5" t="s">
        <v>308</v>
      </c>
      <c r="D300" s="5" t="str">
        <f>"236000010130"</f>
        <v>236000010130</v>
      </c>
      <c r="E300" s="7">
        <v>51</v>
      </c>
      <c r="F300" s="7">
        <v>61</v>
      </c>
      <c r="G300" s="7">
        <f t="shared" si="5"/>
        <v>68.4</v>
      </c>
      <c r="H300" s="6" t="s">
        <v>13</v>
      </c>
    </row>
    <row r="301" customHeight="1" spans="1:8">
      <c r="A301" s="5" t="str">
        <f>"257820200819113128429"</f>
        <v>257820200819113128429</v>
      </c>
      <c r="B301" s="5" t="s">
        <v>9</v>
      </c>
      <c r="C301" s="5" t="s">
        <v>309</v>
      </c>
      <c r="D301" s="5" t="str">
        <f>"236000011704"</f>
        <v>236000011704</v>
      </c>
      <c r="E301" s="7">
        <v>48.5</v>
      </c>
      <c r="F301" s="7">
        <v>62.5</v>
      </c>
      <c r="G301" s="7">
        <f t="shared" si="5"/>
        <v>68.28</v>
      </c>
      <c r="H301" s="6" t="s">
        <v>13</v>
      </c>
    </row>
    <row r="302" customHeight="1" spans="1:8">
      <c r="A302" s="5" t="str">
        <f>"257820200819091805113"</f>
        <v>257820200819091805113</v>
      </c>
      <c r="B302" s="5" t="s">
        <v>9</v>
      </c>
      <c r="C302" s="5" t="s">
        <v>310</v>
      </c>
      <c r="D302" s="5" t="str">
        <f>"236000010112"</f>
        <v>236000010112</v>
      </c>
      <c r="E302" s="7">
        <v>56.5</v>
      </c>
      <c r="F302" s="7">
        <v>57</v>
      </c>
      <c r="G302" s="7">
        <f t="shared" si="5"/>
        <v>68.16</v>
      </c>
      <c r="H302" s="6" t="s">
        <v>11</v>
      </c>
    </row>
    <row r="303" customHeight="1" spans="1:8">
      <c r="A303" s="5" t="str">
        <f>"2578202008212200501491"</f>
        <v>2578202008212200501491</v>
      </c>
      <c r="B303" s="5" t="s">
        <v>9</v>
      </c>
      <c r="C303" s="5" t="s">
        <v>311</v>
      </c>
      <c r="D303" s="5" t="str">
        <f>"236000011216"</f>
        <v>236000011216</v>
      </c>
      <c r="E303" s="7">
        <v>47.5</v>
      </c>
      <c r="F303" s="7">
        <v>63</v>
      </c>
      <c r="G303" s="7">
        <f t="shared" si="5"/>
        <v>68.16</v>
      </c>
      <c r="H303" s="6" t="s">
        <v>13</v>
      </c>
    </row>
    <row r="304" customHeight="1" spans="1:8">
      <c r="A304" s="5" t="str">
        <f>"2578202008201912351168"</f>
        <v>2578202008201912351168</v>
      </c>
      <c r="B304" s="5" t="s">
        <v>9</v>
      </c>
      <c r="C304" s="5" t="s">
        <v>312</v>
      </c>
      <c r="D304" s="5" t="str">
        <f>"236000010723"</f>
        <v>236000010723</v>
      </c>
      <c r="E304" s="7">
        <v>50</v>
      </c>
      <c r="F304" s="7">
        <v>61</v>
      </c>
      <c r="G304" s="7">
        <f t="shared" si="5"/>
        <v>67.92</v>
      </c>
      <c r="H304" s="6" t="s">
        <v>11</v>
      </c>
    </row>
    <row r="305" customHeight="1" spans="1:8">
      <c r="A305" s="5" t="str">
        <f>"257820200819092548148"</f>
        <v>257820200819092548148</v>
      </c>
      <c r="B305" s="5" t="s">
        <v>9</v>
      </c>
      <c r="C305" s="5" t="s">
        <v>313</v>
      </c>
      <c r="D305" s="5" t="str">
        <f>"236000010914"</f>
        <v>236000010914</v>
      </c>
      <c r="E305" s="7">
        <v>53</v>
      </c>
      <c r="F305" s="7">
        <v>59</v>
      </c>
      <c r="G305" s="7">
        <f t="shared" si="5"/>
        <v>67.92</v>
      </c>
      <c r="H305" s="6" t="s">
        <v>11</v>
      </c>
    </row>
    <row r="306" customHeight="1" spans="1:8">
      <c r="A306" s="5" t="str">
        <f>"257820200819093447180"</f>
        <v>257820200819093447180</v>
      </c>
      <c r="B306" s="5" t="s">
        <v>9</v>
      </c>
      <c r="C306" s="5" t="s">
        <v>314</v>
      </c>
      <c r="D306" s="5" t="str">
        <f>"236000010228"</f>
        <v>236000010228</v>
      </c>
      <c r="E306" s="7">
        <v>54.5</v>
      </c>
      <c r="F306" s="7">
        <v>58</v>
      </c>
      <c r="G306" s="7">
        <f t="shared" si="5"/>
        <v>67.92</v>
      </c>
      <c r="H306" s="6" t="s">
        <v>13</v>
      </c>
    </row>
    <row r="307" customHeight="1" spans="1:8">
      <c r="A307" s="5" t="str">
        <f>"257820200819101036272"</f>
        <v>257820200819101036272</v>
      </c>
      <c r="B307" s="5" t="s">
        <v>9</v>
      </c>
      <c r="C307" s="5" t="s">
        <v>315</v>
      </c>
      <c r="D307" s="5" t="str">
        <f>"236000011204"</f>
        <v>236000011204</v>
      </c>
      <c r="E307" s="7">
        <v>53.5</v>
      </c>
      <c r="F307" s="7">
        <v>58.5</v>
      </c>
      <c r="G307" s="7">
        <f t="shared" si="5"/>
        <v>67.8</v>
      </c>
      <c r="H307" s="6" t="s">
        <v>11</v>
      </c>
    </row>
    <row r="308" customHeight="1" spans="1:8">
      <c r="A308" s="5" t="str">
        <f>"25782020081909013418"</f>
        <v>25782020081909013418</v>
      </c>
      <c r="B308" s="5" t="s">
        <v>9</v>
      </c>
      <c r="C308" s="5" t="s">
        <v>316</v>
      </c>
      <c r="D308" s="5" t="str">
        <f>"236000011707"</f>
        <v>236000011707</v>
      </c>
      <c r="E308" s="7">
        <v>52</v>
      </c>
      <c r="F308" s="7">
        <v>59.5</v>
      </c>
      <c r="G308" s="7">
        <f t="shared" si="5"/>
        <v>67.8</v>
      </c>
      <c r="H308" s="6" t="s">
        <v>13</v>
      </c>
    </row>
    <row r="309" customHeight="1" spans="1:8">
      <c r="A309" s="5" t="str">
        <f>"257820200819113530433"</f>
        <v>257820200819113530433</v>
      </c>
      <c r="B309" s="5" t="s">
        <v>9</v>
      </c>
      <c r="C309" s="5" t="s">
        <v>317</v>
      </c>
      <c r="D309" s="5" t="str">
        <f>"236000010801"</f>
        <v>236000010801</v>
      </c>
      <c r="E309" s="7">
        <v>51</v>
      </c>
      <c r="F309" s="7">
        <v>60</v>
      </c>
      <c r="G309" s="7">
        <f t="shared" si="5"/>
        <v>67.68</v>
      </c>
      <c r="H309" s="6" t="s">
        <v>13</v>
      </c>
    </row>
    <row r="310" customHeight="1" spans="1:8">
      <c r="A310" s="5" t="str">
        <f>"257820200819161945650"</f>
        <v>257820200819161945650</v>
      </c>
      <c r="B310" s="5" t="s">
        <v>9</v>
      </c>
      <c r="C310" s="5" t="s">
        <v>318</v>
      </c>
      <c r="D310" s="5" t="str">
        <f>"236000011301"</f>
        <v>236000011301</v>
      </c>
      <c r="E310" s="7">
        <v>49.5</v>
      </c>
      <c r="F310" s="7">
        <v>61</v>
      </c>
      <c r="G310" s="7">
        <f t="shared" si="5"/>
        <v>67.68</v>
      </c>
      <c r="H310" s="6" t="s">
        <v>13</v>
      </c>
    </row>
    <row r="311" customHeight="1" spans="1:8">
      <c r="A311" s="5" t="str">
        <f>"2578202008211039551311"</f>
        <v>2578202008211039551311</v>
      </c>
      <c r="B311" s="5" t="s">
        <v>9</v>
      </c>
      <c r="C311" s="5" t="s">
        <v>319</v>
      </c>
      <c r="D311" s="5" t="str">
        <f>"236000010326"</f>
        <v>236000010326</v>
      </c>
      <c r="E311" s="7">
        <v>59</v>
      </c>
      <c r="F311" s="7">
        <v>54.5</v>
      </c>
      <c r="G311" s="7">
        <f t="shared" si="5"/>
        <v>67.56</v>
      </c>
      <c r="H311" s="6" t="s">
        <v>11</v>
      </c>
    </row>
    <row r="312" customHeight="1" spans="1:8">
      <c r="A312" s="5" t="str">
        <f>"25782020081909070764"</f>
        <v>25782020081909070764</v>
      </c>
      <c r="B312" s="5" t="s">
        <v>9</v>
      </c>
      <c r="C312" s="5" t="s">
        <v>320</v>
      </c>
      <c r="D312" s="5" t="str">
        <f>"236000011225"</f>
        <v>236000011225</v>
      </c>
      <c r="E312" s="7">
        <v>50</v>
      </c>
      <c r="F312" s="7">
        <v>60.5</v>
      </c>
      <c r="G312" s="7">
        <f t="shared" si="5"/>
        <v>67.56</v>
      </c>
      <c r="H312" s="6" t="s">
        <v>11</v>
      </c>
    </row>
    <row r="313" customHeight="1" spans="1:8">
      <c r="A313" s="5" t="str">
        <f>"257820200819095136225"</f>
        <v>257820200819095136225</v>
      </c>
      <c r="B313" s="5" t="s">
        <v>9</v>
      </c>
      <c r="C313" s="5" t="s">
        <v>321</v>
      </c>
      <c r="D313" s="5" t="str">
        <f>"236000011622"</f>
        <v>236000011622</v>
      </c>
      <c r="E313" s="7">
        <v>59</v>
      </c>
      <c r="F313" s="7">
        <v>54.5</v>
      </c>
      <c r="G313" s="7">
        <f t="shared" si="5"/>
        <v>67.56</v>
      </c>
      <c r="H313" s="6" t="s">
        <v>13</v>
      </c>
    </row>
    <row r="314" customHeight="1" spans="1:8">
      <c r="A314" s="5" t="str">
        <f>"2578202008211455471394"</f>
        <v>2578202008211455471394</v>
      </c>
      <c r="B314" s="5" t="s">
        <v>9</v>
      </c>
      <c r="C314" s="5" t="s">
        <v>322</v>
      </c>
      <c r="D314" s="5" t="str">
        <f>"236000010905"</f>
        <v>236000010905</v>
      </c>
      <c r="E314" s="7">
        <v>52</v>
      </c>
      <c r="F314" s="7">
        <v>59</v>
      </c>
      <c r="G314" s="7">
        <f t="shared" si="5"/>
        <v>67.44</v>
      </c>
      <c r="H314" s="6" t="s">
        <v>13</v>
      </c>
    </row>
    <row r="315" customHeight="1" spans="1:8">
      <c r="A315" s="5" t="str">
        <f>"257820200819102747312"</f>
        <v>257820200819102747312</v>
      </c>
      <c r="B315" s="5" t="s">
        <v>9</v>
      </c>
      <c r="C315" s="5" t="s">
        <v>323</v>
      </c>
      <c r="D315" s="5" t="str">
        <f>"236000011713"</f>
        <v>236000011713</v>
      </c>
      <c r="E315" s="7">
        <v>44.5</v>
      </c>
      <c r="F315" s="7">
        <v>64</v>
      </c>
      <c r="G315" s="7">
        <f t="shared" si="5"/>
        <v>67.44</v>
      </c>
      <c r="H315" s="6" t="s">
        <v>13</v>
      </c>
    </row>
    <row r="316" customHeight="1" spans="1:8">
      <c r="A316" s="5" t="str">
        <f>"257820200819102426303"</f>
        <v>257820200819102426303</v>
      </c>
      <c r="B316" s="5" t="s">
        <v>9</v>
      </c>
      <c r="C316" s="5" t="s">
        <v>324</v>
      </c>
      <c r="D316" s="5" t="str">
        <f>"236000010117"</f>
        <v>236000010117</v>
      </c>
      <c r="E316" s="7">
        <v>55.5</v>
      </c>
      <c r="F316" s="7">
        <v>56.5</v>
      </c>
      <c r="G316" s="7">
        <f t="shared" si="5"/>
        <v>67.32</v>
      </c>
      <c r="H316" s="6" t="s">
        <v>11</v>
      </c>
    </row>
    <row r="317" customHeight="1" spans="1:8">
      <c r="A317" s="5" t="str">
        <f>"257820200819180540702"</f>
        <v>257820200819180540702</v>
      </c>
      <c r="B317" s="5" t="s">
        <v>9</v>
      </c>
      <c r="C317" s="5" t="s">
        <v>325</v>
      </c>
      <c r="D317" s="5" t="str">
        <f>"236000010705"</f>
        <v>236000010705</v>
      </c>
      <c r="E317" s="7">
        <v>48</v>
      </c>
      <c r="F317" s="7">
        <v>61.5</v>
      </c>
      <c r="G317" s="7">
        <f t="shared" si="5"/>
        <v>67.32</v>
      </c>
      <c r="H317" s="6" t="s">
        <v>13</v>
      </c>
    </row>
    <row r="318" customHeight="1" spans="1:8">
      <c r="A318" s="5" t="str">
        <f>"257820200819110810404"</f>
        <v>257820200819110810404</v>
      </c>
      <c r="B318" s="5" t="s">
        <v>9</v>
      </c>
      <c r="C318" s="5" t="s">
        <v>326</v>
      </c>
      <c r="D318" s="5" t="str">
        <f>"236000010922"</f>
        <v>236000010922</v>
      </c>
      <c r="E318" s="7">
        <v>52.5</v>
      </c>
      <c r="F318" s="7">
        <v>58.5</v>
      </c>
      <c r="G318" s="7">
        <f t="shared" si="5"/>
        <v>67.32</v>
      </c>
      <c r="H318" s="6" t="s">
        <v>13</v>
      </c>
    </row>
    <row r="319" customHeight="1" spans="1:8">
      <c r="A319" s="5" t="str">
        <f>"257820200819105027367"</f>
        <v>257820200819105027367</v>
      </c>
      <c r="B319" s="5" t="s">
        <v>9</v>
      </c>
      <c r="C319" s="5" t="s">
        <v>327</v>
      </c>
      <c r="D319" s="5" t="str">
        <f>"236000012027"</f>
        <v>236000012027</v>
      </c>
      <c r="E319" s="7">
        <v>54</v>
      </c>
      <c r="F319" s="7">
        <v>57.5</v>
      </c>
      <c r="G319" s="7">
        <f t="shared" si="5"/>
        <v>67.32</v>
      </c>
      <c r="H319" s="6" t="s">
        <v>13</v>
      </c>
    </row>
    <row r="320" customHeight="1" spans="1:8">
      <c r="A320" s="5" t="str">
        <f>"257820200819103041322"</f>
        <v>257820200819103041322</v>
      </c>
      <c r="B320" s="5" t="s">
        <v>9</v>
      </c>
      <c r="C320" s="5" t="s">
        <v>328</v>
      </c>
      <c r="D320" s="5" t="str">
        <f>"236000010514"</f>
        <v>236000010514</v>
      </c>
      <c r="E320" s="7">
        <v>48.5</v>
      </c>
      <c r="F320" s="7">
        <v>61</v>
      </c>
      <c r="G320" s="7">
        <f t="shared" si="5"/>
        <v>67.2</v>
      </c>
      <c r="H320" s="6" t="s">
        <v>13</v>
      </c>
    </row>
    <row r="321" customHeight="1" spans="1:8">
      <c r="A321" s="5" t="str">
        <f>"257820200819195205774"</f>
        <v>257820200819195205774</v>
      </c>
      <c r="B321" s="5" t="s">
        <v>9</v>
      </c>
      <c r="C321" s="5" t="s">
        <v>329</v>
      </c>
      <c r="D321" s="5" t="str">
        <f>"236000011522"</f>
        <v>236000011522</v>
      </c>
      <c r="E321" s="7">
        <v>50.5</v>
      </c>
      <c r="F321" s="7">
        <v>59.5</v>
      </c>
      <c r="G321" s="7">
        <f t="shared" si="5"/>
        <v>67.08</v>
      </c>
      <c r="H321" s="6" t="s">
        <v>13</v>
      </c>
    </row>
    <row r="322" customHeight="1" spans="1:8">
      <c r="A322" s="5" t="str">
        <f>"2578202008201440211067"</f>
        <v>2578202008201440211067</v>
      </c>
      <c r="B322" s="5" t="s">
        <v>9</v>
      </c>
      <c r="C322" s="5" t="s">
        <v>330</v>
      </c>
      <c r="D322" s="5" t="str">
        <f>"236000011617"</f>
        <v>236000011617</v>
      </c>
      <c r="E322" s="7">
        <v>47.5</v>
      </c>
      <c r="F322" s="7">
        <v>61.5</v>
      </c>
      <c r="G322" s="7">
        <f t="shared" si="5"/>
        <v>67.08</v>
      </c>
      <c r="H322" s="6" t="s">
        <v>11</v>
      </c>
    </row>
    <row r="323" customHeight="1" spans="1:8">
      <c r="A323" s="5" t="str">
        <f>"257820200819093244173"</f>
        <v>257820200819093244173</v>
      </c>
      <c r="B323" s="5" t="s">
        <v>9</v>
      </c>
      <c r="C323" s="5" t="s">
        <v>331</v>
      </c>
      <c r="D323" s="5" t="str">
        <f>"236000011806"</f>
        <v>236000011806</v>
      </c>
      <c r="E323" s="7">
        <v>54</v>
      </c>
      <c r="F323" s="7">
        <v>57</v>
      </c>
      <c r="G323" s="7">
        <f t="shared" ref="G323:G339" si="6">E323*1.2*0.4+F323*1.2*0.6</f>
        <v>66.96</v>
      </c>
      <c r="H323" s="6" t="s">
        <v>11</v>
      </c>
    </row>
    <row r="324" customHeight="1" spans="1:8">
      <c r="A324" s="5" t="str">
        <f>"25782020081909035338"</f>
        <v>25782020081909035338</v>
      </c>
      <c r="B324" s="5" t="s">
        <v>9</v>
      </c>
      <c r="C324" s="5" t="s">
        <v>332</v>
      </c>
      <c r="D324" s="5" t="str">
        <f>"236000010706"</f>
        <v>236000010706</v>
      </c>
      <c r="E324" s="7">
        <v>51.5</v>
      </c>
      <c r="F324" s="7">
        <v>58.5</v>
      </c>
      <c r="G324" s="7">
        <f t="shared" si="6"/>
        <v>66.84</v>
      </c>
      <c r="H324" s="6" t="s">
        <v>13</v>
      </c>
    </row>
    <row r="325" customHeight="1" spans="1:8">
      <c r="A325" s="5" t="str">
        <f>"2578202008201209221013"</f>
        <v>2578202008201209221013</v>
      </c>
      <c r="B325" s="5" t="s">
        <v>9</v>
      </c>
      <c r="C325" s="5" t="s">
        <v>333</v>
      </c>
      <c r="D325" s="5" t="str">
        <f>"236000010917"</f>
        <v>236000010917</v>
      </c>
      <c r="E325" s="7">
        <v>51.5</v>
      </c>
      <c r="F325" s="7">
        <v>58.5</v>
      </c>
      <c r="G325" s="7">
        <f t="shared" si="6"/>
        <v>66.84</v>
      </c>
      <c r="H325" s="6" t="s">
        <v>11</v>
      </c>
    </row>
    <row r="326" customHeight="1" spans="1:8">
      <c r="A326" s="5" t="str">
        <f>"257820200819134352558"</f>
        <v>257820200819134352558</v>
      </c>
      <c r="B326" s="5" t="s">
        <v>9</v>
      </c>
      <c r="C326" s="5" t="s">
        <v>334</v>
      </c>
      <c r="D326" s="5" t="str">
        <f>"236000010329"</f>
        <v>236000010329</v>
      </c>
      <c r="E326" s="7">
        <v>50</v>
      </c>
      <c r="F326" s="7">
        <v>59.5</v>
      </c>
      <c r="G326" s="7">
        <f t="shared" si="6"/>
        <v>66.84</v>
      </c>
      <c r="H326" s="6" t="s">
        <v>13</v>
      </c>
    </row>
    <row r="327" customHeight="1" spans="1:8">
      <c r="A327" s="5" t="str">
        <f>"257820200819135321565"</f>
        <v>257820200819135321565</v>
      </c>
      <c r="B327" s="5" t="s">
        <v>9</v>
      </c>
      <c r="C327" s="5" t="s">
        <v>335</v>
      </c>
      <c r="D327" s="5" t="str">
        <f>"236000010618"</f>
        <v>236000010618</v>
      </c>
      <c r="E327" s="7">
        <v>52</v>
      </c>
      <c r="F327" s="7">
        <v>58</v>
      </c>
      <c r="G327" s="7">
        <f t="shared" si="6"/>
        <v>66.72</v>
      </c>
      <c r="H327" s="6" t="s">
        <v>13</v>
      </c>
    </row>
    <row r="328" customHeight="1" spans="1:8">
      <c r="A328" s="5" t="str">
        <f>"257820200819164531667"</f>
        <v>257820200819164531667</v>
      </c>
      <c r="B328" s="5" t="s">
        <v>9</v>
      </c>
      <c r="C328" s="5" t="s">
        <v>336</v>
      </c>
      <c r="D328" s="5" t="str">
        <f>"236000012329"</f>
        <v>236000012329</v>
      </c>
      <c r="E328" s="7">
        <v>47</v>
      </c>
      <c r="F328" s="7">
        <v>61</v>
      </c>
      <c r="G328" s="7">
        <f t="shared" si="6"/>
        <v>66.48</v>
      </c>
      <c r="H328" s="6" t="s">
        <v>13</v>
      </c>
    </row>
    <row r="329" customHeight="1" spans="1:8">
      <c r="A329" s="5" t="str">
        <f>"257820200820103911970"</f>
        <v>257820200820103911970</v>
      </c>
      <c r="B329" s="5" t="s">
        <v>9</v>
      </c>
      <c r="C329" s="5" t="s">
        <v>332</v>
      </c>
      <c r="D329" s="5" t="str">
        <f>"236000011215"</f>
        <v>236000011215</v>
      </c>
      <c r="E329" s="7">
        <v>49</v>
      </c>
      <c r="F329" s="7">
        <v>59.5</v>
      </c>
      <c r="G329" s="7">
        <f t="shared" si="6"/>
        <v>66.36</v>
      </c>
      <c r="H329" s="6" t="s">
        <v>13</v>
      </c>
    </row>
    <row r="330" customHeight="1" spans="1:8">
      <c r="A330" s="5" t="str">
        <f>"257820200819163503657"</f>
        <v>257820200819163503657</v>
      </c>
      <c r="B330" s="5" t="s">
        <v>9</v>
      </c>
      <c r="C330" s="5" t="s">
        <v>337</v>
      </c>
      <c r="D330" s="5" t="str">
        <f>"236000011325"</f>
        <v>236000011325</v>
      </c>
      <c r="E330" s="7">
        <v>45</v>
      </c>
      <c r="F330" s="7">
        <v>62</v>
      </c>
      <c r="G330" s="7">
        <f t="shared" si="6"/>
        <v>66.24</v>
      </c>
      <c r="H330" s="6" t="s">
        <v>13</v>
      </c>
    </row>
    <row r="331" customHeight="1" spans="1:8">
      <c r="A331" s="5" t="str">
        <f>"257820200819095226229"</f>
        <v>257820200819095226229</v>
      </c>
      <c r="B331" s="5" t="s">
        <v>9</v>
      </c>
      <c r="C331" s="5" t="s">
        <v>338</v>
      </c>
      <c r="D331" s="5" t="str">
        <f>"236000010126"</f>
        <v>236000010126</v>
      </c>
      <c r="E331" s="7">
        <v>47</v>
      </c>
      <c r="F331" s="7">
        <v>60.5</v>
      </c>
      <c r="G331" s="7">
        <f t="shared" si="6"/>
        <v>66.12</v>
      </c>
      <c r="H331" s="6" t="s">
        <v>13</v>
      </c>
    </row>
    <row r="332" customHeight="1" spans="1:8">
      <c r="A332" s="5" t="str">
        <f>"257820200819161042643"</f>
        <v>257820200819161042643</v>
      </c>
      <c r="B332" s="5" t="s">
        <v>9</v>
      </c>
      <c r="C332" s="5" t="s">
        <v>339</v>
      </c>
      <c r="D332" s="5" t="str">
        <f>"236000010411"</f>
        <v>236000010411</v>
      </c>
      <c r="E332" s="7">
        <v>56</v>
      </c>
      <c r="F332" s="7">
        <v>54.5</v>
      </c>
      <c r="G332" s="7">
        <f t="shared" si="6"/>
        <v>66.12</v>
      </c>
      <c r="H332" s="6" t="s">
        <v>13</v>
      </c>
    </row>
    <row r="333" customHeight="1" spans="1:8">
      <c r="A333" s="5" t="str">
        <f>"257820200819111132407"</f>
        <v>257820200819111132407</v>
      </c>
      <c r="B333" s="5" t="s">
        <v>9</v>
      </c>
      <c r="C333" s="5" t="s">
        <v>340</v>
      </c>
      <c r="D333" s="5" t="str">
        <f>"236000010617"</f>
        <v>236000010617</v>
      </c>
      <c r="E333" s="7">
        <v>48.5</v>
      </c>
      <c r="F333" s="7">
        <v>59.5</v>
      </c>
      <c r="G333" s="7">
        <f t="shared" si="6"/>
        <v>66.12</v>
      </c>
      <c r="H333" s="6" t="s">
        <v>13</v>
      </c>
    </row>
    <row r="334" customHeight="1" spans="1:8">
      <c r="A334" s="5" t="str">
        <f>"2578202008212008511464"</f>
        <v>2578202008212008511464</v>
      </c>
      <c r="B334" s="5" t="s">
        <v>9</v>
      </c>
      <c r="C334" s="5" t="s">
        <v>341</v>
      </c>
      <c r="D334" s="5" t="str">
        <f>"236000010713"</f>
        <v>236000010713</v>
      </c>
      <c r="E334" s="7">
        <v>46</v>
      </c>
      <c r="F334" s="7">
        <v>61</v>
      </c>
      <c r="G334" s="7">
        <f t="shared" si="6"/>
        <v>66</v>
      </c>
      <c r="H334" s="6" t="s">
        <v>11</v>
      </c>
    </row>
    <row r="335" customHeight="1" spans="1:8">
      <c r="A335" s="5" t="str">
        <f>"257820200819101143276"</f>
        <v>257820200819101143276</v>
      </c>
      <c r="B335" s="5" t="s">
        <v>9</v>
      </c>
      <c r="C335" s="5" t="s">
        <v>342</v>
      </c>
      <c r="D335" s="5" t="str">
        <f>"236000010503"</f>
        <v>236000010503</v>
      </c>
      <c r="E335" s="7">
        <v>48</v>
      </c>
      <c r="F335" s="7">
        <v>59.5</v>
      </c>
      <c r="G335" s="7">
        <f t="shared" si="6"/>
        <v>65.88</v>
      </c>
      <c r="H335" s="6" t="s">
        <v>13</v>
      </c>
    </row>
    <row r="336" customHeight="1" spans="1:8">
      <c r="A336" s="5" t="str">
        <f>"257820200819093050165"</f>
        <v>257820200819093050165</v>
      </c>
      <c r="B336" s="5" t="s">
        <v>9</v>
      </c>
      <c r="C336" s="5" t="s">
        <v>343</v>
      </c>
      <c r="D336" s="5" t="str">
        <f>"236000011621"</f>
        <v>236000011621</v>
      </c>
      <c r="E336" s="7">
        <v>61.5</v>
      </c>
      <c r="F336" s="7">
        <v>50.5</v>
      </c>
      <c r="G336" s="7">
        <f t="shared" si="6"/>
        <v>65.88</v>
      </c>
      <c r="H336" s="6" t="s">
        <v>13</v>
      </c>
    </row>
    <row r="337" customHeight="1" spans="1:8">
      <c r="A337" s="5" t="str">
        <f>"257820200819165009671"</f>
        <v>257820200819165009671</v>
      </c>
      <c r="B337" s="5" t="s">
        <v>9</v>
      </c>
      <c r="C337" s="5" t="s">
        <v>344</v>
      </c>
      <c r="D337" s="5" t="str">
        <f>"236000010918"</f>
        <v>236000010918</v>
      </c>
      <c r="E337" s="7">
        <v>47</v>
      </c>
      <c r="F337" s="7">
        <v>60</v>
      </c>
      <c r="G337" s="7">
        <f t="shared" si="6"/>
        <v>65.76</v>
      </c>
      <c r="H337" s="6" t="s">
        <v>13</v>
      </c>
    </row>
    <row r="338" customHeight="1" spans="1:8">
      <c r="A338" s="5" t="str">
        <f>"2578202008201444391068"</f>
        <v>2578202008201444391068</v>
      </c>
      <c r="B338" s="5" t="s">
        <v>9</v>
      </c>
      <c r="C338" s="5" t="s">
        <v>345</v>
      </c>
      <c r="D338" s="5" t="str">
        <f>"236000011108"</f>
        <v>236000011108</v>
      </c>
      <c r="E338" s="7">
        <v>60.5</v>
      </c>
      <c r="F338" s="7">
        <v>51</v>
      </c>
      <c r="G338" s="7">
        <f t="shared" si="6"/>
        <v>65.76</v>
      </c>
      <c r="H338" s="6" t="s">
        <v>11</v>
      </c>
    </row>
    <row r="339" customHeight="1" spans="1:8">
      <c r="A339" s="5" t="str">
        <f>"2578202008202126411217"</f>
        <v>2578202008202126411217</v>
      </c>
      <c r="B339" s="5" t="s">
        <v>9</v>
      </c>
      <c r="C339" s="5" t="s">
        <v>346</v>
      </c>
      <c r="D339" s="5" t="str">
        <f>"236000011507"</f>
        <v>236000011507</v>
      </c>
      <c r="E339" s="7">
        <v>54.5</v>
      </c>
      <c r="F339" s="7">
        <v>55</v>
      </c>
      <c r="G339" s="7">
        <f t="shared" si="6"/>
        <v>65.76</v>
      </c>
      <c r="H339" s="6" t="s">
        <v>11</v>
      </c>
    </row>
    <row r="340" customHeight="1" spans="1:8">
      <c r="A340" s="5" t="str">
        <f>"2578202008201303001039"</f>
        <v>2578202008201303001039</v>
      </c>
      <c r="B340" s="5" t="s">
        <v>9</v>
      </c>
      <c r="C340" s="5" t="s">
        <v>347</v>
      </c>
      <c r="D340" s="5" t="str">
        <f>"236000011326"</f>
        <v>236000011326</v>
      </c>
      <c r="E340" s="7">
        <v>53.5</v>
      </c>
      <c r="F340" s="7">
        <v>55.5</v>
      </c>
      <c r="G340" s="7">
        <f t="shared" ref="G340:G390" si="7">E340*1.2*0.4+F340*1.2*0.6</f>
        <v>65.64</v>
      </c>
      <c r="H340" s="6" t="s">
        <v>11</v>
      </c>
    </row>
    <row r="341" customHeight="1" spans="1:8">
      <c r="A341" s="5" t="str">
        <f>"25782020081909044248"</f>
        <v>25782020081909044248</v>
      </c>
      <c r="B341" s="5" t="s">
        <v>9</v>
      </c>
      <c r="C341" s="5" t="s">
        <v>348</v>
      </c>
      <c r="D341" s="5" t="str">
        <f>"236000010813"</f>
        <v>236000010813</v>
      </c>
      <c r="E341" s="7">
        <v>55.5</v>
      </c>
      <c r="F341" s="7">
        <v>54</v>
      </c>
      <c r="G341" s="7">
        <f t="shared" si="7"/>
        <v>65.52</v>
      </c>
      <c r="H341" s="6" t="s">
        <v>13</v>
      </c>
    </row>
    <row r="342" customHeight="1" spans="1:8">
      <c r="A342" s="5" t="str">
        <f>"257820200819093552187"</f>
        <v>257820200819093552187</v>
      </c>
      <c r="B342" s="5" t="s">
        <v>9</v>
      </c>
      <c r="C342" s="5" t="s">
        <v>349</v>
      </c>
      <c r="D342" s="5" t="str">
        <f>"236000011612"</f>
        <v>236000011612</v>
      </c>
      <c r="E342" s="7">
        <v>49.5</v>
      </c>
      <c r="F342" s="7">
        <v>58</v>
      </c>
      <c r="G342" s="7">
        <f t="shared" si="7"/>
        <v>65.52</v>
      </c>
      <c r="H342" s="6" t="s">
        <v>13</v>
      </c>
    </row>
    <row r="343" customHeight="1" spans="1:8">
      <c r="A343" s="5" t="str">
        <f>"257820200819102213298"</f>
        <v>257820200819102213298</v>
      </c>
      <c r="B343" s="5" t="s">
        <v>9</v>
      </c>
      <c r="C343" s="5" t="s">
        <v>350</v>
      </c>
      <c r="D343" s="5" t="str">
        <f>"236000011714"</f>
        <v>236000011714</v>
      </c>
      <c r="E343" s="7">
        <v>49.5</v>
      </c>
      <c r="F343" s="7">
        <v>58</v>
      </c>
      <c r="G343" s="7">
        <f t="shared" si="7"/>
        <v>65.52</v>
      </c>
      <c r="H343" s="6" t="s">
        <v>13</v>
      </c>
    </row>
    <row r="344" customHeight="1" spans="1:8">
      <c r="A344" s="5" t="str">
        <f>"257820200819141613581"</f>
        <v>257820200819141613581</v>
      </c>
      <c r="B344" s="5" t="s">
        <v>9</v>
      </c>
      <c r="C344" s="5" t="s">
        <v>351</v>
      </c>
      <c r="D344" s="5" t="str">
        <f>"236000011929"</f>
        <v>236000011929</v>
      </c>
      <c r="E344" s="7">
        <v>51.5</v>
      </c>
      <c r="F344" s="7">
        <v>56.5</v>
      </c>
      <c r="G344" s="7">
        <f t="shared" si="7"/>
        <v>65.4</v>
      </c>
      <c r="H344" s="6" t="s">
        <v>11</v>
      </c>
    </row>
    <row r="345" customHeight="1" spans="1:8">
      <c r="A345" s="5" t="str">
        <f>"257820200819095106223"</f>
        <v>257820200819095106223</v>
      </c>
      <c r="B345" s="5" t="s">
        <v>9</v>
      </c>
      <c r="C345" s="5" t="s">
        <v>352</v>
      </c>
      <c r="D345" s="5" t="str">
        <f>"236000010807"</f>
        <v>236000010807</v>
      </c>
      <c r="E345" s="7">
        <v>50.5</v>
      </c>
      <c r="F345" s="7">
        <v>57</v>
      </c>
      <c r="G345" s="7">
        <f t="shared" si="7"/>
        <v>65.28</v>
      </c>
      <c r="H345" s="6" t="s">
        <v>13</v>
      </c>
    </row>
    <row r="346" customHeight="1" spans="1:8">
      <c r="A346" s="5" t="str">
        <f>"257820200819120804470"</f>
        <v>257820200819120804470</v>
      </c>
      <c r="B346" s="5" t="s">
        <v>9</v>
      </c>
      <c r="C346" s="5" t="s">
        <v>353</v>
      </c>
      <c r="D346" s="5" t="str">
        <f>"236000012227"</f>
        <v>236000012227</v>
      </c>
      <c r="E346" s="7">
        <v>50.5</v>
      </c>
      <c r="F346" s="7">
        <v>57</v>
      </c>
      <c r="G346" s="7">
        <f t="shared" si="7"/>
        <v>65.28</v>
      </c>
      <c r="H346" s="6" t="s">
        <v>13</v>
      </c>
    </row>
    <row r="347" customHeight="1" spans="1:8">
      <c r="A347" s="5" t="str">
        <f>"257820200819202615793"</f>
        <v>257820200819202615793</v>
      </c>
      <c r="B347" s="5" t="s">
        <v>9</v>
      </c>
      <c r="C347" s="5" t="s">
        <v>354</v>
      </c>
      <c r="D347" s="5" t="str">
        <f>"236000010629"</f>
        <v>236000010629</v>
      </c>
      <c r="E347" s="7">
        <v>48</v>
      </c>
      <c r="F347" s="7">
        <v>58.5</v>
      </c>
      <c r="G347" s="7">
        <f t="shared" si="7"/>
        <v>65.16</v>
      </c>
      <c r="H347" s="6" t="s">
        <v>13</v>
      </c>
    </row>
    <row r="348" customHeight="1" spans="1:8">
      <c r="A348" s="5" t="str">
        <f>"257820200819163505658"</f>
        <v>257820200819163505658</v>
      </c>
      <c r="B348" s="5" t="s">
        <v>9</v>
      </c>
      <c r="C348" s="5" t="s">
        <v>355</v>
      </c>
      <c r="D348" s="5" t="str">
        <f>"236000011514"</f>
        <v>236000011514</v>
      </c>
      <c r="E348" s="7">
        <v>43.5</v>
      </c>
      <c r="F348" s="7">
        <v>61.5</v>
      </c>
      <c r="G348" s="7">
        <f t="shared" si="7"/>
        <v>65.16</v>
      </c>
      <c r="H348" s="6" t="s">
        <v>13</v>
      </c>
    </row>
    <row r="349" customHeight="1" spans="1:8">
      <c r="A349" s="5" t="str">
        <f>"2578202008202153481230"</f>
        <v>2578202008202153481230</v>
      </c>
      <c r="B349" s="5" t="s">
        <v>9</v>
      </c>
      <c r="C349" s="5" t="s">
        <v>356</v>
      </c>
      <c r="D349" s="5" t="str">
        <f>"236000010428"</f>
        <v>236000010428</v>
      </c>
      <c r="E349" s="7">
        <v>48.5</v>
      </c>
      <c r="F349" s="7">
        <v>58</v>
      </c>
      <c r="G349" s="7">
        <f t="shared" si="7"/>
        <v>65.04</v>
      </c>
      <c r="H349" s="6" t="s">
        <v>11</v>
      </c>
    </row>
    <row r="350" customHeight="1" spans="1:8">
      <c r="A350" s="5" t="str">
        <f>"257820200819203747799"</f>
        <v>257820200819203747799</v>
      </c>
      <c r="B350" s="5" t="s">
        <v>9</v>
      </c>
      <c r="C350" s="5" t="s">
        <v>178</v>
      </c>
      <c r="D350" s="5" t="str">
        <f>"236000010619"</f>
        <v>236000010619</v>
      </c>
      <c r="E350" s="7">
        <v>50.5</v>
      </c>
      <c r="F350" s="7">
        <v>56.5</v>
      </c>
      <c r="G350" s="7">
        <f t="shared" si="7"/>
        <v>64.92</v>
      </c>
      <c r="H350" s="6" t="s">
        <v>13</v>
      </c>
    </row>
    <row r="351" customHeight="1" spans="1:8">
      <c r="A351" s="5" t="str">
        <f>"257820200819120526468"</f>
        <v>257820200819120526468</v>
      </c>
      <c r="B351" s="5" t="s">
        <v>9</v>
      </c>
      <c r="C351" s="5" t="s">
        <v>357</v>
      </c>
      <c r="D351" s="5" t="str">
        <f>"236000010915"</f>
        <v>236000010915</v>
      </c>
      <c r="E351" s="7">
        <v>53.5</v>
      </c>
      <c r="F351" s="7">
        <v>54.5</v>
      </c>
      <c r="G351" s="7">
        <f t="shared" si="7"/>
        <v>64.92</v>
      </c>
      <c r="H351" s="6" t="s">
        <v>11</v>
      </c>
    </row>
    <row r="352" customHeight="1" spans="1:8">
      <c r="A352" s="5" t="str">
        <f>"257820200819204709805"</f>
        <v>257820200819204709805</v>
      </c>
      <c r="B352" s="5" t="s">
        <v>9</v>
      </c>
      <c r="C352" s="5" t="s">
        <v>358</v>
      </c>
      <c r="D352" s="5" t="str">
        <f>"236000011619"</f>
        <v>236000011619</v>
      </c>
      <c r="E352" s="7">
        <v>59.5</v>
      </c>
      <c r="F352" s="7">
        <v>50.5</v>
      </c>
      <c r="G352" s="7">
        <f t="shared" si="7"/>
        <v>64.92</v>
      </c>
      <c r="H352" s="6" t="s">
        <v>11</v>
      </c>
    </row>
    <row r="353" customHeight="1" spans="1:8">
      <c r="A353" s="5" t="str">
        <f>"257820200819190321736"</f>
        <v>257820200819190321736</v>
      </c>
      <c r="B353" s="5" t="s">
        <v>9</v>
      </c>
      <c r="C353" s="5" t="s">
        <v>359</v>
      </c>
      <c r="D353" s="5" t="str">
        <f>"236000011705"</f>
        <v>236000011705</v>
      </c>
      <c r="E353" s="7">
        <v>48</v>
      </c>
      <c r="F353" s="7">
        <v>58</v>
      </c>
      <c r="G353" s="7">
        <f t="shared" si="7"/>
        <v>64.8</v>
      </c>
      <c r="H353" s="6" t="s">
        <v>13</v>
      </c>
    </row>
    <row r="354" customHeight="1" spans="1:8">
      <c r="A354" s="5" t="str">
        <f>"257820200819131447536"</f>
        <v>257820200819131447536</v>
      </c>
      <c r="B354" s="5" t="s">
        <v>9</v>
      </c>
      <c r="C354" s="5" t="s">
        <v>360</v>
      </c>
      <c r="D354" s="5" t="str">
        <f>"236000012107"</f>
        <v>236000012107</v>
      </c>
      <c r="E354" s="7">
        <v>52.5</v>
      </c>
      <c r="F354" s="7">
        <v>55</v>
      </c>
      <c r="G354" s="7">
        <f t="shared" si="7"/>
        <v>64.8</v>
      </c>
      <c r="H354" s="6" t="s">
        <v>13</v>
      </c>
    </row>
    <row r="355" customHeight="1" spans="1:8">
      <c r="A355" s="5" t="str">
        <f>"2578202008201230191025"</f>
        <v>2578202008201230191025</v>
      </c>
      <c r="B355" s="5" t="s">
        <v>9</v>
      </c>
      <c r="C355" s="5" t="s">
        <v>361</v>
      </c>
      <c r="D355" s="5" t="str">
        <f>"236000011530"</f>
        <v>236000011530</v>
      </c>
      <c r="E355" s="7">
        <v>47.5</v>
      </c>
      <c r="F355" s="7">
        <v>58</v>
      </c>
      <c r="G355" s="7">
        <f t="shared" si="7"/>
        <v>64.56</v>
      </c>
      <c r="H355" s="6" t="s">
        <v>13</v>
      </c>
    </row>
    <row r="356" customHeight="1" spans="1:8">
      <c r="A356" s="5" t="str">
        <f>"2578202008202156421232"</f>
        <v>2578202008202156421232</v>
      </c>
      <c r="B356" s="5" t="s">
        <v>9</v>
      </c>
      <c r="C356" s="5" t="s">
        <v>362</v>
      </c>
      <c r="D356" s="5" t="str">
        <f>"236000010924"</f>
        <v>236000010924</v>
      </c>
      <c r="E356" s="7">
        <v>51</v>
      </c>
      <c r="F356" s="7">
        <v>55.5</v>
      </c>
      <c r="G356" s="7">
        <f t="shared" si="7"/>
        <v>64.44</v>
      </c>
      <c r="H356" s="6" t="s">
        <v>13</v>
      </c>
    </row>
    <row r="357" customHeight="1" spans="1:8">
      <c r="A357" s="5" t="str">
        <f>"257820200819182721713"</f>
        <v>257820200819182721713</v>
      </c>
      <c r="B357" s="5" t="s">
        <v>9</v>
      </c>
      <c r="C357" s="5" t="s">
        <v>363</v>
      </c>
      <c r="D357" s="5" t="str">
        <f>"236000011416"</f>
        <v>236000011416</v>
      </c>
      <c r="E357" s="7">
        <v>48</v>
      </c>
      <c r="F357" s="7">
        <v>57.5</v>
      </c>
      <c r="G357" s="7">
        <f t="shared" si="7"/>
        <v>64.44</v>
      </c>
      <c r="H357" s="6" t="s">
        <v>13</v>
      </c>
    </row>
    <row r="358" customHeight="1" spans="1:8">
      <c r="A358" s="5" t="str">
        <f>"257820200819101106275"</f>
        <v>257820200819101106275</v>
      </c>
      <c r="B358" s="5" t="s">
        <v>9</v>
      </c>
      <c r="C358" s="5" t="s">
        <v>364</v>
      </c>
      <c r="D358" s="5" t="str">
        <f>"236000010403"</f>
        <v>236000010403</v>
      </c>
      <c r="E358" s="7">
        <v>52.5</v>
      </c>
      <c r="F358" s="7">
        <v>54.5</v>
      </c>
      <c r="G358" s="7">
        <f t="shared" si="7"/>
        <v>64.44</v>
      </c>
      <c r="H358" s="6" t="s">
        <v>11</v>
      </c>
    </row>
    <row r="359" customHeight="1" spans="1:8">
      <c r="A359" s="5" t="str">
        <f>"257820200819094102200"</f>
        <v>257820200819094102200</v>
      </c>
      <c r="B359" s="5" t="s">
        <v>9</v>
      </c>
      <c r="C359" s="5" t="s">
        <v>365</v>
      </c>
      <c r="D359" s="5" t="str">
        <f>"236000010124"</f>
        <v>236000010124</v>
      </c>
      <c r="E359" s="7">
        <v>51.5</v>
      </c>
      <c r="F359" s="7">
        <v>55</v>
      </c>
      <c r="G359" s="7">
        <f t="shared" si="7"/>
        <v>64.32</v>
      </c>
      <c r="H359" s="6" t="s">
        <v>13</v>
      </c>
    </row>
    <row r="360" customHeight="1" spans="1:8">
      <c r="A360" s="5" t="str">
        <f>"257820200819114443445"</f>
        <v>257820200819114443445</v>
      </c>
      <c r="B360" s="5" t="s">
        <v>9</v>
      </c>
      <c r="C360" s="5" t="s">
        <v>366</v>
      </c>
      <c r="D360" s="5" t="str">
        <f>"236000011302"</f>
        <v>236000011302</v>
      </c>
      <c r="E360" s="7">
        <v>53</v>
      </c>
      <c r="F360" s="7">
        <v>54</v>
      </c>
      <c r="G360" s="7">
        <f t="shared" si="7"/>
        <v>64.32</v>
      </c>
      <c r="H360" s="6" t="s">
        <v>13</v>
      </c>
    </row>
    <row r="361" customHeight="1" spans="1:8">
      <c r="A361" s="5" t="str">
        <f>"257820200820110136986"</f>
        <v>257820200820110136986</v>
      </c>
      <c r="B361" s="5" t="s">
        <v>9</v>
      </c>
      <c r="C361" s="5" t="s">
        <v>367</v>
      </c>
      <c r="D361" s="5" t="str">
        <f>"236000011615"</f>
        <v>236000011615</v>
      </c>
      <c r="E361" s="7">
        <v>50</v>
      </c>
      <c r="F361" s="7">
        <v>56</v>
      </c>
      <c r="G361" s="7">
        <f t="shared" si="7"/>
        <v>64.32</v>
      </c>
      <c r="H361" s="6" t="s">
        <v>13</v>
      </c>
    </row>
    <row r="362" customHeight="1" spans="1:8">
      <c r="A362" s="5" t="str">
        <f>"257820200819113741436"</f>
        <v>257820200819113741436</v>
      </c>
      <c r="B362" s="5" t="s">
        <v>9</v>
      </c>
      <c r="C362" s="5" t="s">
        <v>368</v>
      </c>
      <c r="D362" s="5" t="str">
        <f>"236000011015"</f>
        <v>236000011015</v>
      </c>
      <c r="E362" s="7">
        <v>54.5</v>
      </c>
      <c r="F362" s="7">
        <v>53</v>
      </c>
      <c r="G362" s="7">
        <f t="shared" si="7"/>
        <v>64.32</v>
      </c>
      <c r="H362" s="6" t="s">
        <v>11</v>
      </c>
    </row>
    <row r="363" customHeight="1" spans="1:8">
      <c r="A363" s="5" t="str">
        <f>"257820200819104139345"</f>
        <v>257820200819104139345</v>
      </c>
      <c r="B363" s="5" t="s">
        <v>9</v>
      </c>
      <c r="C363" s="5" t="s">
        <v>369</v>
      </c>
      <c r="D363" s="5" t="str">
        <f>"236000010625"</f>
        <v>236000010625</v>
      </c>
      <c r="E363" s="7">
        <v>53.5</v>
      </c>
      <c r="F363" s="7">
        <v>53.5</v>
      </c>
      <c r="G363" s="7">
        <f t="shared" si="7"/>
        <v>64.2</v>
      </c>
      <c r="H363" s="6" t="s">
        <v>13</v>
      </c>
    </row>
    <row r="364" customHeight="1" spans="1:8">
      <c r="A364" s="5" t="str">
        <f>"257820200819095711241"</f>
        <v>257820200819095711241</v>
      </c>
      <c r="B364" s="5" t="s">
        <v>9</v>
      </c>
      <c r="C364" s="5" t="s">
        <v>370</v>
      </c>
      <c r="D364" s="5" t="str">
        <f>"236000010719"</f>
        <v>236000010719</v>
      </c>
      <c r="E364" s="7">
        <v>51</v>
      </c>
      <c r="F364" s="7">
        <v>55</v>
      </c>
      <c r="G364" s="7">
        <f t="shared" si="7"/>
        <v>64.08</v>
      </c>
      <c r="H364" s="6" t="s">
        <v>13</v>
      </c>
    </row>
    <row r="365" customHeight="1" spans="1:8">
      <c r="A365" s="5" t="str">
        <f>"257820200819101251278"</f>
        <v>257820200819101251278</v>
      </c>
      <c r="B365" s="5" t="s">
        <v>9</v>
      </c>
      <c r="C365" s="5" t="s">
        <v>371</v>
      </c>
      <c r="D365" s="5" t="str">
        <f>"236000011401"</f>
        <v>236000011401</v>
      </c>
      <c r="E365" s="7">
        <v>48</v>
      </c>
      <c r="F365" s="7">
        <v>57</v>
      </c>
      <c r="G365" s="7">
        <f t="shared" si="7"/>
        <v>64.08</v>
      </c>
      <c r="H365" s="6" t="s">
        <v>11</v>
      </c>
    </row>
    <row r="366" customHeight="1" spans="1:8">
      <c r="A366" s="5" t="str">
        <f>"2578202008201750101145"</f>
        <v>2578202008201750101145</v>
      </c>
      <c r="B366" s="5" t="s">
        <v>9</v>
      </c>
      <c r="C366" s="5" t="s">
        <v>372</v>
      </c>
      <c r="D366" s="5" t="str">
        <f>"236000010202"</f>
        <v>236000010202</v>
      </c>
      <c r="E366" s="7">
        <v>53</v>
      </c>
      <c r="F366" s="7">
        <v>53.5</v>
      </c>
      <c r="G366" s="7">
        <f t="shared" si="7"/>
        <v>63.96</v>
      </c>
      <c r="H366" s="6" t="s">
        <v>13</v>
      </c>
    </row>
    <row r="367" customHeight="1" spans="1:8">
      <c r="A367" s="5" t="str">
        <f>"257820200820093024926"</f>
        <v>257820200820093024926</v>
      </c>
      <c r="B367" s="5" t="s">
        <v>9</v>
      </c>
      <c r="C367" s="5" t="s">
        <v>373</v>
      </c>
      <c r="D367" s="5" t="str">
        <f>"236000011418"</f>
        <v>236000011418</v>
      </c>
      <c r="E367" s="7">
        <v>54</v>
      </c>
      <c r="F367" s="7">
        <v>52.5</v>
      </c>
      <c r="G367" s="7">
        <f t="shared" si="7"/>
        <v>63.72</v>
      </c>
      <c r="H367" s="6" t="s">
        <v>13</v>
      </c>
    </row>
    <row r="368" customHeight="1" spans="1:8">
      <c r="A368" s="5" t="str">
        <f>"257820200819143412589"</f>
        <v>257820200819143412589</v>
      </c>
      <c r="B368" s="5" t="s">
        <v>9</v>
      </c>
      <c r="C368" s="5" t="s">
        <v>374</v>
      </c>
      <c r="D368" s="5" t="str">
        <f>"236000011829"</f>
        <v>236000011829</v>
      </c>
      <c r="E368" s="7">
        <v>52.5</v>
      </c>
      <c r="F368" s="7">
        <v>53.5</v>
      </c>
      <c r="G368" s="7">
        <f t="shared" si="7"/>
        <v>63.72</v>
      </c>
      <c r="H368" s="6" t="s">
        <v>13</v>
      </c>
    </row>
    <row r="369" customHeight="1" spans="1:8">
      <c r="A369" s="5" t="str">
        <f>"2578202008201749121144"</f>
        <v>2578202008201749121144</v>
      </c>
      <c r="B369" s="5" t="s">
        <v>9</v>
      </c>
      <c r="C369" s="5" t="s">
        <v>231</v>
      </c>
      <c r="D369" s="5" t="str">
        <f>"236000011808"</f>
        <v>236000011808</v>
      </c>
      <c r="E369" s="7">
        <v>57.5</v>
      </c>
      <c r="F369" s="7">
        <v>50</v>
      </c>
      <c r="G369" s="7">
        <f t="shared" si="7"/>
        <v>63.6</v>
      </c>
      <c r="H369" s="6" t="s">
        <v>13</v>
      </c>
    </row>
    <row r="370" customHeight="1" spans="1:8">
      <c r="A370" s="5" t="str">
        <f>"257820200819184639728"</f>
        <v>257820200819184639728</v>
      </c>
      <c r="B370" s="5" t="s">
        <v>9</v>
      </c>
      <c r="C370" s="5" t="s">
        <v>375</v>
      </c>
      <c r="D370" s="5" t="str">
        <f>"236000011419"</f>
        <v>236000011419</v>
      </c>
      <c r="E370" s="7">
        <v>47.5</v>
      </c>
      <c r="F370" s="7">
        <v>56.5</v>
      </c>
      <c r="G370" s="7">
        <f t="shared" si="7"/>
        <v>63.48</v>
      </c>
      <c r="H370" s="6" t="s">
        <v>13</v>
      </c>
    </row>
    <row r="371" customHeight="1" spans="1:8">
      <c r="A371" s="5" t="str">
        <f>"2578202008201851041165"</f>
        <v>2578202008201851041165</v>
      </c>
      <c r="B371" s="5" t="s">
        <v>9</v>
      </c>
      <c r="C371" s="5" t="s">
        <v>376</v>
      </c>
      <c r="D371" s="5" t="str">
        <f>"236000012213"</f>
        <v>236000012213</v>
      </c>
      <c r="E371" s="7">
        <v>56.5</v>
      </c>
      <c r="F371" s="7">
        <v>50</v>
      </c>
      <c r="G371" s="7">
        <f t="shared" si="7"/>
        <v>63.12</v>
      </c>
      <c r="H371" s="6" t="s">
        <v>13</v>
      </c>
    </row>
    <row r="372" customHeight="1" spans="1:8">
      <c r="A372" s="5" t="str">
        <f>"257820200819094204203"</f>
        <v>257820200819094204203</v>
      </c>
      <c r="B372" s="5" t="s">
        <v>9</v>
      </c>
      <c r="C372" s="5" t="s">
        <v>377</v>
      </c>
      <c r="D372" s="5" t="str">
        <f>"236000010116"</f>
        <v>236000010116</v>
      </c>
      <c r="E372" s="7">
        <v>46.5</v>
      </c>
      <c r="F372" s="7">
        <v>56.5</v>
      </c>
      <c r="G372" s="7">
        <f t="shared" si="7"/>
        <v>63</v>
      </c>
      <c r="H372" s="6" t="s">
        <v>13</v>
      </c>
    </row>
    <row r="373" customHeight="1" spans="1:8">
      <c r="A373" s="5" t="str">
        <f>"257820200819095735242"</f>
        <v>257820200819095735242</v>
      </c>
      <c r="B373" s="5" t="s">
        <v>9</v>
      </c>
      <c r="C373" s="5" t="s">
        <v>378</v>
      </c>
      <c r="D373" s="5" t="str">
        <f>"236000011802"</f>
        <v>236000011802</v>
      </c>
      <c r="E373" s="7">
        <v>48</v>
      </c>
      <c r="F373" s="7">
        <v>55.5</v>
      </c>
      <c r="G373" s="7">
        <f t="shared" si="7"/>
        <v>63</v>
      </c>
      <c r="H373" s="6" t="s">
        <v>11</v>
      </c>
    </row>
    <row r="374" customHeight="1" spans="1:8">
      <c r="A374" s="5" t="str">
        <f>"257820200819105225372"</f>
        <v>257820200819105225372</v>
      </c>
      <c r="B374" s="5" t="s">
        <v>9</v>
      </c>
      <c r="C374" s="5" t="s">
        <v>379</v>
      </c>
      <c r="D374" s="5" t="str">
        <f>"236000012416"</f>
        <v>236000012416</v>
      </c>
      <c r="E374" s="7">
        <v>54.5</v>
      </c>
      <c r="F374" s="7">
        <v>51</v>
      </c>
      <c r="G374" s="7">
        <f t="shared" si="7"/>
        <v>62.88</v>
      </c>
      <c r="H374" s="6" t="s">
        <v>13</v>
      </c>
    </row>
    <row r="375" customHeight="1" spans="1:8">
      <c r="A375" s="5" t="str">
        <f>"257820200820111024990"</f>
        <v>257820200820111024990</v>
      </c>
      <c r="B375" s="5" t="s">
        <v>9</v>
      </c>
      <c r="C375" s="5" t="s">
        <v>380</v>
      </c>
      <c r="D375" s="5" t="str">
        <f>"236000010912"</f>
        <v>236000010912</v>
      </c>
      <c r="E375" s="7">
        <v>50.5</v>
      </c>
      <c r="F375" s="7">
        <v>53.5</v>
      </c>
      <c r="G375" s="7">
        <f t="shared" si="7"/>
        <v>62.76</v>
      </c>
      <c r="H375" s="6" t="s">
        <v>13</v>
      </c>
    </row>
    <row r="376" customHeight="1" spans="1:8">
      <c r="A376" s="5" t="str">
        <f>"2578202008211500161396"</f>
        <v>2578202008211500161396</v>
      </c>
      <c r="B376" s="5" t="s">
        <v>9</v>
      </c>
      <c r="C376" s="5" t="s">
        <v>381</v>
      </c>
      <c r="D376" s="5" t="str">
        <f>"236000011905"</f>
        <v>236000011905</v>
      </c>
      <c r="E376" s="7">
        <v>55</v>
      </c>
      <c r="F376" s="7">
        <v>50.5</v>
      </c>
      <c r="G376" s="7">
        <f t="shared" si="7"/>
        <v>62.76</v>
      </c>
      <c r="H376" s="6" t="s">
        <v>13</v>
      </c>
    </row>
    <row r="377" customHeight="1" spans="1:8">
      <c r="A377" s="5" t="str">
        <f>"25782020081909012914"</f>
        <v>25782020081909012914</v>
      </c>
      <c r="B377" s="5" t="s">
        <v>9</v>
      </c>
      <c r="C377" s="5" t="s">
        <v>382</v>
      </c>
      <c r="D377" s="5" t="str">
        <f>"236000010728"</f>
        <v>236000010728</v>
      </c>
      <c r="E377" s="7">
        <v>46.5</v>
      </c>
      <c r="F377" s="7">
        <v>56</v>
      </c>
      <c r="G377" s="7">
        <f t="shared" si="7"/>
        <v>62.64</v>
      </c>
      <c r="H377" s="6" t="s">
        <v>11</v>
      </c>
    </row>
    <row r="378" customHeight="1" spans="1:8">
      <c r="A378" s="5" t="str">
        <f>"257820200819152252614"</f>
        <v>257820200819152252614</v>
      </c>
      <c r="B378" s="5" t="s">
        <v>9</v>
      </c>
      <c r="C378" s="5" t="s">
        <v>383</v>
      </c>
      <c r="D378" s="5" t="str">
        <f>"236000011317"</f>
        <v>236000011317</v>
      </c>
      <c r="E378" s="7">
        <v>58</v>
      </c>
      <c r="F378" s="7">
        <v>48</v>
      </c>
      <c r="G378" s="7">
        <f t="shared" si="7"/>
        <v>62.4</v>
      </c>
      <c r="H378" s="6" t="s">
        <v>13</v>
      </c>
    </row>
    <row r="379" customHeight="1" spans="1:8">
      <c r="A379" s="5" t="str">
        <f>"2578202008201600021100"</f>
        <v>2578202008201600021100</v>
      </c>
      <c r="B379" s="5" t="s">
        <v>9</v>
      </c>
      <c r="C379" s="5" t="s">
        <v>384</v>
      </c>
      <c r="D379" s="5" t="str">
        <f>"236000011803"</f>
        <v>236000011803</v>
      </c>
      <c r="E379" s="7">
        <v>49</v>
      </c>
      <c r="F379" s="7">
        <v>54</v>
      </c>
      <c r="G379" s="7">
        <f t="shared" si="7"/>
        <v>62.4</v>
      </c>
      <c r="H379" s="6" t="s">
        <v>13</v>
      </c>
    </row>
    <row r="380" customHeight="1" spans="1:8">
      <c r="A380" s="5" t="str">
        <f>"2578202008201538151092"</f>
        <v>2578202008201538151092</v>
      </c>
      <c r="B380" s="5" t="s">
        <v>9</v>
      </c>
      <c r="C380" s="5" t="s">
        <v>385</v>
      </c>
      <c r="D380" s="5" t="str">
        <f>"236000011830"</f>
        <v>236000011830</v>
      </c>
      <c r="E380" s="7">
        <v>42</v>
      </c>
      <c r="F380" s="7">
        <v>58.5</v>
      </c>
      <c r="G380" s="7">
        <f t="shared" si="7"/>
        <v>62.28</v>
      </c>
      <c r="H380" s="6" t="s">
        <v>13</v>
      </c>
    </row>
    <row r="381" customHeight="1" spans="1:8">
      <c r="A381" s="5" t="str">
        <f>"25782020081909125092"</f>
        <v>25782020081909125092</v>
      </c>
      <c r="B381" s="5" t="s">
        <v>9</v>
      </c>
      <c r="C381" s="5" t="s">
        <v>386</v>
      </c>
      <c r="D381" s="5" t="str">
        <f>"236000011120"</f>
        <v>236000011120</v>
      </c>
      <c r="E381" s="7">
        <v>42.5</v>
      </c>
      <c r="F381" s="7">
        <v>58</v>
      </c>
      <c r="G381" s="7">
        <f t="shared" si="7"/>
        <v>62.16</v>
      </c>
      <c r="H381" s="6" t="s">
        <v>11</v>
      </c>
    </row>
    <row r="382" customHeight="1" spans="1:8">
      <c r="A382" s="5" t="str">
        <f>"257820200819173219689"</f>
        <v>257820200819173219689</v>
      </c>
      <c r="B382" s="5" t="s">
        <v>9</v>
      </c>
      <c r="C382" s="5" t="s">
        <v>387</v>
      </c>
      <c r="D382" s="5" t="str">
        <f>"236000011512"</f>
        <v>236000011512</v>
      </c>
      <c r="E382" s="7">
        <v>47</v>
      </c>
      <c r="F382" s="7">
        <v>55</v>
      </c>
      <c r="G382" s="7">
        <f t="shared" si="7"/>
        <v>62.16</v>
      </c>
      <c r="H382" s="6" t="s">
        <v>13</v>
      </c>
    </row>
    <row r="383" customHeight="1" spans="1:8">
      <c r="A383" s="5" t="str">
        <f>"257820200819091602106"</f>
        <v>257820200819091602106</v>
      </c>
      <c r="B383" s="5" t="s">
        <v>9</v>
      </c>
      <c r="C383" s="5" t="s">
        <v>388</v>
      </c>
      <c r="D383" s="5" t="str">
        <f>"236000011604"</f>
        <v>236000011604</v>
      </c>
      <c r="E383" s="7">
        <v>47</v>
      </c>
      <c r="F383" s="7">
        <v>55</v>
      </c>
      <c r="G383" s="7">
        <f t="shared" si="7"/>
        <v>62.16</v>
      </c>
      <c r="H383" s="6" t="s">
        <v>13</v>
      </c>
    </row>
    <row r="384" customHeight="1" spans="1:8">
      <c r="A384" s="5" t="str">
        <f>"257820200819225610861"</f>
        <v>257820200819225610861</v>
      </c>
      <c r="B384" s="5" t="s">
        <v>9</v>
      </c>
      <c r="C384" s="5" t="s">
        <v>389</v>
      </c>
      <c r="D384" s="5" t="str">
        <f>"236000011811"</f>
        <v>236000011811</v>
      </c>
      <c r="E384" s="7">
        <v>55</v>
      </c>
      <c r="F384" s="7">
        <v>49.5</v>
      </c>
      <c r="G384" s="7">
        <f t="shared" si="7"/>
        <v>62.04</v>
      </c>
      <c r="H384" s="6" t="s">
        <v>13</v>
      </c>
    </row>
    <row r="385" customHeight="1" spans="1:8">
      <c r="A385" s="5" t="str">
        <f>"257820200819163744660"</f>
        <v>257820200819163744660</v>
      </c>
      <c r="B385" s="5" t="s">
        <v>9</v>
      </c>
      <c r="C385" s="5" t="s">
        <v>390</v>
      </c>
      <c r="D385" s="5" t="str">
        <f>"236000012023"</f>
        <v>236000012023</v>
      </c>
      <c r="E385" s="7">
        <v>45</v>
      </c>
      <c r="F385" s="7">
        <v>56</v>
      </c>
      <c r="G385" s="7">
        <f t="shared" si="7"/>
        <v>61.92</v>
      </c>
      <c r="H385" s="6" t="s">
        <v>13</v>
      </c>
    </row>
    <row r="386" customHeight="1" spans="1:8">
      <c r="A386" s="5" t="str">
        <f>"2578202008211223301353"</f>
        <v>2578202008211223301353</v>
      </c>
      <c r="B386" s="5" t="s">
        <v>9</v>
      </c>
      <c r="C386" s="5" t="s">
        <v>391</v>
      </c>
      <c r="D386" s="5" t="str">
        <f>"236000010118"</f>
        <v>236000010118</v>
      </c>
      <c r="E386" s="7">
        <v>47</v>
      </c>
      <c r="F386" s="7">
        <v>54.5</v>
      </c>
      <c r="G386" s="7">
        <f t="shared" si="7"/>
        <v>61.8</v>
      </c>
      <c r="H386" s="6" t="s">
        <v>13</v>
      </c>
    </row>
    <row r="387" customHeight="1" spans="1:8">
      <c r="A387" s="5" t="str">
        <f>"2578202008211048121314"</f>
        <v>2578202008211048121314</v>
      </c>
      <c r="B387" s="5" t="s">
        <v>9</v>
      </c>
      <c r="C387" s="5" t="s">
        <v>392</v>
      </c>
      <c r="D387" s="5" t="str">
        <f>"236000011403"</f>
        <v>236000011403</v>
      </c>
      <c r="E387" s="7">
        <v>46</v>
      </c>
      <c r="F387" s="7">
        <v>55</v>
      </c>
      <c r="G387" s="7">
        <f t="shared" si="7"/>
        <v>61.68</v>
      </c>
      <c r="H387" s="6" t="s">
        <v>13</v>
      </c>
    </row>
    <row r="388" customHeight="1" spans="1:8">
      <c r="A388" s="5" t="str">
        <f>"257820200819220213842"</f>
        <v>257820200819220213842</v>
      </c>
      <c r="B388" s="5" t="s">
        <v>9</v>
      </c>
      <c r="C388" s="5" t="s">
        <v>393</v>
      </c>
      <c r="D388" s="5" t="str">
        <f>"236000011103"</f>
        <v>236000011103</v>
      </c>
      <c r="E388" s="7">
        <v>48</v>
      </c>
      <c r="F388" s="7">
        <v>53.5</v>
      </c>
      <c r="G388" s="7">
        <f t="shared" si="7"/>
        <v>61.56</v>
      </c>
      <c r="H388" s="6" t="s">
        <v>11</v>
      </c>
    </row>
    <row r="389" customHeight="1" spans="1:8">
      <c r="A389" s="5" t="str">
        <f>"257820200819132709544"</f>
        <v>257820200819132709544</v>
      </c>
      <c r="B389" s="5" t="s">
        <v>9</v>
      </c>
      <c r="C389" s="5" t="s">
        <v>394</v>
      </c>
      <c r="D389" s="5" t="str">
        <f>"236000010108"</f>
        <v>236000010108</v>
      </c>
      <c r="E389" s="7">
        <v>43.5</v>
      </c>
      <c r="F389" s="7">
        <v>56.5</v>
      </c>
      <c r="G389" s="7">
        <f t="shared" si="7"/>
        <v>61.56</v>
      </c>
      <c r="H389" s="6" t="s">
        <v>13</v>
      </c>
    </row>
    <row r="390" customHeight="1" spans="1:8">
      <c r="A390" s="5" t="str">
        <f>"2578202008212052561476"</f>
        <v>2578202008212052561476</v>
      </c>
      <c r="B390" s="5" t="s">
        <v>9</v>
      </c>
      <c r="C390" s="5" t="s">
        <v>395</v>
      </c>
      <c r="D390" s="5" t="str">
        <f>"236000010113"</f>
        <v>236000010113</v>
      </c>
      <c r="E390" s="7">
        <v>54.5</v>
      </c>
      <c r="F390" s="7">
        <v>49</v>
      </c>
      <c r="G390" s="7">
        <f t="shared" si="7"/>
        <v>61.44</v>
      </c>
      <c r="H390" s="6" t="s">
        <v>13</v>
      </c>
    </row>
    <row r="391" customHeight="1" spans="1:8">
      <c r="A391" s="5" t="str">
        <f>"2578202008201928451174"</f>
        <v>2578202008201928451174</v>
      </c>
      <c r="B391" s="5" t="s">
        <v>9</v>
      </c>
      <c r="C391" s="5" t="s">
        <v>396</v>
      </c>
      <c r="D391" s="5" t="str">
        <f>"236000010426"</f>
        <v>236000010426</v>
      </c>
      <c r="E391" s="7">
        <v>52</v>
      </c>
      <c r="F391" s="7">
        <v>50.5</v>
      </c>
      <c r="G391" s="7">
        <f t="shared" ref="G391:G410" si="8">E391*1.2*0.4+F391*1.2*0.6</f>
        <v>61.32</v>
      </c>
      <c r="H391" s="6" t="s">
        <v>13</v>
      </c>
    </row>
    <row r="392" customHeight="1" spans="1:8">
      <c r="A392" s="5" t="str">
        <f>"257820200819095815244"</f>
        <v>257820200819095815244</v>
      </c>
      <c r="B392" s="5" t="s">
        <v>9</v>
      </c>
      <c r="C392" s="5" t="s">
        <v>397</v>
      </c>
      <c r="D392" s="5" t="str">
        <f>"236000010830"</f>
        <v>236000010830</v>
      </c>
      <c r="E392" s="7">
        <v>43</v>
      </c>
      <c r="F392" s="7">
        <v>56.5</v>
      </c>
      <c r="G392" s="7">
        <f t="shared" si="8"/>
        <v>61.32</v>
      </c>
      <c r="H392" s="6" t="s">
        <v>13</v>
      </c>
    </row>
    <row r="393" customHeight="1" spans="1:8">
      <c r="A393" s="5" t="str">
        <f>"257820200820103115965"</f>
        <v>257820200820103115965</v>
      </c>
      <c r="B393" s="5" t="s">
        <v>9</v>
      </c>
      <c r="C393" s="5" t="s">
        <v>398</v>
      </c>
      <c r="D393" s="5" t="str">
        <f>"236000011012"</f>
        <v>236000011012</v>
      </c>
      <c r="E393" s="7">
        <v>46</v>
      </c>
      <c r="F393" s="7">
        <v>54.5</v>
      </c>
      <c r="G393" s="7">
        <f t="shared" si="8"/>
        <v>61.32</v>
      </c>
      <c r="H393" s="6" t="s">
        <v>13</v>
      </c>
    </row>
    <row r="394" customHeight="1" spans="1:8">
      <c r="A394" s="5" t="str">
        <f>"2578202008210718231260"</f>
        <v>2578202008210718231260</v>
      </c>
      <c r="B394" s="5" t="s">
        <v>9</v>
      </c>
      <c r="C394" s="5" t="s">
        <v>399</v>
      </c>
      <c r="D394" s="5" t="str">
        <f>"236000012414"</f>
        <v>236000012414</v>
      </c>
      <c r="E394" s="7">
        <v>52</v>
      </c>
      <c r="F394" s="7">
        <v>50.5</v>
      </c>
      <c r="G394" s="7">
        <f t="shared" si="8"/>
        <v>61.32</v>
      </c>
      <c r="H394" s="6" t="s">
        <v>13</v>
      </c>
    </row>
    <row r="395" customHeight="1" spans="1:8">
      <c r="A395" s="5" t="str">
        <f>"257820200820094459934"</f>
        <v>257820200820094459934</v>
      </c>
      <c r="B395" s="5" t="s">
        <v>9</v>
      </c>
      <c r="C395" s="5" t="s">
        <v>400</v>
      </c>
      <c r="D395" s="5" t="str">
        <f>"236000011703"</f>
        <v>236000011703</v>
      </c>
      <c r="E395" s="7">
        <v>48</v>
      </c>
      <c r="F395" s="7">
        <v>53</v>
      </c>
      <c r="G395" s="7">
        <f t="shared" si="8"/>
        <v>61.2</v>
      </c>
      <c r="H395" s="6" t="s">
        <v>13</v>
      </c>
    </row>
    <row r="396" customHeight="1" spans="1:8">
      <c r="A396" s="5" t="str">
        <f>"2578202008201237061027"</f>
        <v>2578202008201237061027</v>
      </c>
      <c r="B396" s="5" t="s">
        <v>9</v>
      </c>
      <c r="C396" s="5" t="s">
        <v>401</v>
      </c>
      <c r="D396" s="5" t="str">
        <f>"236000012108"</f>
        <v>236000012108</v>
      </c>
      <c r="E396" s="7">
        <v>48</v>
      </c>
      <c r="F396" s="7">
        <v>53</v>
      </c>
      <c r="G396" s="7">
        <f t="shared" si="8"/>
        <v>61.2</v>
      </c>
      <c r="H396" s="6" t="s">
        <v>13</v>
      </c>
    </row>
    <row r="397" customHeight="1" spans="1:8">
      <c r="A397" s="5" t="str">
        <f>"257820200819092424140"</f>
        <v>257820200819092424140</v>
      </c>
      <c r="B397" s="5" t="s">
        <v>9</v>
      </c>
      <c r="C397" s="5" t="s">
        <v>402</v>
      </c>
      <c r="D397" s="5" t="str">
        <f>"236000010306"</f>
        <v>236000010306</v>
      </c>
      <c r="E397" s="7">
        <v>49</v>
      </c>
      <c r="F397" s="7">
        <v>52</v>
      </c>
      <c r="G397" s="7">
        <f t="shared" si="8"/>
        <v>60.96</v>
      </c>
      <c r="H397" s="6" t="s">
        <v>13</v>
      </c>
    </row>
    <row r="398" customHeight="1" spans="1:8">
      <c r="A398" s="5" t="str">
        <f>"257820200819170420677"</f>
        <v>257820200819170420677</v>
      </c>
      <c r="B398" s="5" t="s">
        <v>9</v>
      </c>
      <c r="C398" s="5" t="s">
        <v>403</v>
      </c>
      <c r="D398" s="5" t="str">
        <f>"236000010214"</f>
        <v>236000010214</v>
      </c>
      <c r="E398" s="7">
        <v>51</v>
      </c>
      <c r="F398" s="7">
        <v>50.5</v>
      </c>
      <c r="G398" s="7">
        <f t="shared" si="8"/>
        <v>60.84</v>
      </c>
      <c r="H398" s="6" t="s">
        <v>11</v>
      </c>
    </row>
    <row r="399" customHeight="1" spans="1:8">
      <c r="A399" s="5" t="str">
        <f>"257820200820102029955"</f>
        <v>257820200820102029955</v>
      </c>
      <c r="B399" s="5" t="s">
        <v>9</v>
      </c>
      <c r="C399" s="5" t="s">
        <v>404</v>
      </c>
      <c r="D399" s="5" t="str">
        <f>"236000010222"</f>
        <v>236000010222</v>
      </c>
      <c r="E399" s="7">
        <v>55.5</v>
      </c>
      <c r="F399" s="7">
        <v>47.5</v>
      </c>
      <c r="G399" s="7">
        <f t="shared" si="8"/>
        <v>60.84</v>
      </c>
      <c r="H399" s="6" t="s">
        <v>13</v>
      </c>
    </row>
    <row r="400" customHeight="1" spans="1:8">
      <c r="A400" s="5" t="str">
        <f>"257820200819120430465"</f>
        <v>257820200819120430465</v>
      </c>
      <c r="B400" s="5" t="s">
        <v>9</v>
      </c>
      <c r="C400" s="5" t="s">
        <v>405</v>
      </c>
      <c r="D400" s="5" t="str">
        <f>"236000010430"</f>
        <v>236000010430</v>
      </c>
      <c r="E400" s="7">
        <v>49.5</v>
      </c>
      <c r="F400" s="7">
        <v>51.5</v>
      </c>
      <c r="G400" s="7">
        <f t="shared" si="8"/>
        <v>60.84</v>
      </c>
      <c r="H400" s="6" t="s">
        <v>13</v>
      </c>
    </row>
    <row r="401" customHeight="1" spans="1:8">
      <c r="A401" s="5" t="str">
        <f>"25782020081909122490"</f>
        <v>25782020081909122490</v>
      </c>
      <c r="B401" s="5" t="s">
        <v>9</v>
      </c>
      <c r="C401" s="5" t="s">
        <v>406</v>
      </c>
      <c r="D401" s="5" t="str">
        <f>"236000011719"</f>
        <v>236000011719</v>
      </c>
      <c r="E401" s="7">
        <v>48</v>
      </c>
      <c r="F401" s="7">
        <v>52.5</v>
      </c>
      <c r="G401" s="7">
        <f t="shared" si="8"/>
        <v>60.84</v>
      </c>
      <c r="H401" s="6" t="s">
        <v>11</v>
      </c>
    </row>
    <row r="402" customHeight="1" spans="1:8">
      <c r="A402" s="5" t="str">
        <f>"257820200819095433234"</f>
        <v>257820200819095433234</v>
      </c>
      <c r="B402" s="5" t="s">
        <v>9</v>
      </c>
      <c r="C402" s="5" t="s">
        <v>407</v>
      </c>
      <c r="D402" s="5" t="str">
        <f>"236000010806"</f>
        <v>236000010806</v>
      </c>
      <c r="E402" s="7">
        <v>50</v>
      </c>
      <c r="F402" s="7">
        <v>51</v>
      </c>
      <c r="G402" s="7">
        <f t="shared" si="8"/>
        <v>60.72</v>
      </c>
      <c r="H402" s="6" t="s">
        <v>13</v>
      </c>
    </row>
    <row r="403" customHeight="1" spans="1:8">
      <c r="A403" s="5" t="str">
        <f>"2578202008201750581147"</f>
        <v>2578202008201750581147</v>
      </c>
      <c r="B403" s="5" t="s">
        <v>9</v>
      </c>
      <c r="C403" s="5" t="s">
        <v>408</v>
      </c>
      <c r="D403" s="5" t="str">
        <f>"236000010213"</f>
        <v>236000010213</v>
      </c>
      <c r="E403" s="7">
        <v>40</v>
      </c>
      <c r="F403" s="7">
        <v>57.5</v>
      </c>
      <c r="G403" s="7">
        <f t="shared" si="8"/>
        <v>60.6</v>
      </c>
      <c r="H403" s="6" t="s">
        <v>13</v>
      </c>
    </row>
    <row r="404" customHeight="1" spans="1:8">
      <c r="A404" s="5" t="str">
        <f>"257820200819150122606"</f>
        <v>257820200819150122606</v>
      </c>
      <c r="B404" s="5" t="s">
        <v>9</v>
      </c>
      <c r="C404" s="5" t="s">
        <v>409</v>
      </c>
      <c r="D404" s="5" t="str">
        <f>"236000010321"</f>
        <v>236000010321</v>
      </c>
      <c r="E404" s="7">
        <v>46</v>
      </c>
      <c r="F404" s="7">
        <v>53.5</v>
      </c>
      <c r="G404" s="7">
        <f t="shared" si="8"/>
        <v>60.6</v>
      </c>
      <c r="H404" s="6" t="s">
        <v>13</v>
      </c>
    </row>
    <row r="405" customHeight="1" spans="1:8">
      <c r="A405" s="5" t="str">
        <f>"257820200819180455701"</f>
        <v>257820200819180455701</v>
      </c>
      <c r="B405" s="5" t="s">
        <v>9</v>
      </c>
      <c r="C405" s="5" t="s">
        <v>410</v>
      </c>
      <c r="D405" s="5" t="str">
        <f>"236000011222"</f>
        <v>236000011222</v>
      </c>
      <c r="E405" s="7">
        <v>52</v>
      </c>
      <c r="F405" s="7">
        <v>49.5</v>
      </c>
      <c r="G405" s="7">
        <f t="shared" si="8"/>
        <v>60.6</v>
      </c>
      <c r="H405" s="6" t="s">
        <v>11</v>
      </c>
    </row>
    <row r="406" customHeight="1" spans="1:8">
      <c r="A406" s="5" t="str">
        <f>"257820200819125623517"</f>
        <v>257820200819125623517</v>
      </c>
      <c r="B406" s="5" t="s">
        <v>9</v>
      </c>
      <c r="C406" s="5" t="s">
        <v>411</v>
      </c>
      <c r="D406" s="5" t="str">
        <f>"236000011313"</f>
        <v>236000011313</v>
      </c>
      <c r="E406" s="7">
        <v>49</v>
      </c>
      <c r="F406" s="7">
        <v>51.5</v>
      </c>
      <c r="G406" s="7">
        <f t="shared" si="8"/>
        <v>60.6</v>
      </c>
      <c r="H406" s="6" t="s">
        <v>13</v>
      </c>
    </row>
    <row r="407" customHeight="1" spans="1:8">
      <c r="A407" s="5" t="str">
        <f>"257820200819193522761"</f>
        <v>257820200819193522761</v>
      </c>
      <c r="B407" s="5" t="s">
        <v>9</v>
      </c>
      <c r="C407" s="5" t="s">
        <v>412</v>
      </c>
      <c r="D407" s="5" t="str">
        <f>"236000011410"</f>
        <v>236000011410</v>
      </c>
      <c r="E407" s="7">
        <v>46.5</v>
      </c>
      <c r="F407" s="7">
        <v>53</v>
      </c>
      <c r="G407" s="7">
        <f t="shared" si="8"/>
        <v>60.48</v>
      </c>
      <c r="H407" s="6" t="s">
        <v>11</v>
      </c>
    </row>
    <row r="408" customHeight="1" spans="1:8">
      <c r="A408" s="5" t="str">
        <f>"257820200819101052273"</f>
        <v>257820200819101052273</v>
      </c>
      <c r="B408" s="5" t="s">
        <v>9</v>
      </c>
      <c r="C408" s="5" t="s">
        <v>413</v>
      </c>
      <c r="D408" s="5" t="str">
        <f>"236000011122"</f>
        <v>236000011122</v>
      </c>
      <c r="E408" s="7">
        <v>48.5</v>
      </c>
      <c r="F408" s="7">
        <v>51.5</v>
      </c>
      <c r="G408" s="7">
        <f t="shared" si="8"/>
        <v>60.36</v>
      </c>
      <c r="H408" s="6" t="s">
        <v>13</v>
      </c>
    </row>
    <row r="409" customHeight="1" spans="1:8">
      <c r="A409" s="5" t="str">
        <f>"25782020081909073367"</f>
        <v>25782020081909073367</v>
      </c>
      <c r="B409" s="5" t="s">
        <v>9</v>
      </c>
      <c r="C409" s="5" t="s">
        <v>414</v>
      </c>
      <c r="D409" s="5" t="str">
        <f>"236000012417"</f>
        <v>236000012417</v>
      </c>
      <c r="E409" s="7">
        <v>47</v>
      </c>
      <c r="F409" s="7">
        <v>52.5</v>
      </c>
      <c r="G409" s="7">
        <f t="shared" si="8"/>
        <v>60.36</v>
      </c>
      <c r="H409" s="6" t="s">
        <v>13</v>
      </c>
    </row>
    <row r="410" customHeight="1" spans="1:8">
      <c r="A410" s="5"/>
      <c r="B410" s="5" t="s">
        <v>9</v>
      </c>
      <c r="C410" s="5" t="s">
        <v>415</v>
      </c>
      <c r="D410" s="5" t="str">
        <f>"236000010522"</f>
        <v>236000010522</v>
      </c>
      <c r="E410" s="7">
        <v>49</v>
      </c>
      <c r="F410" s="7">
        <v>51</v>
      </c>
      <c r="G410" s="7">
        <f t="shared" si="8"/>
        <v>60.24</v>
      </c>
      <c r="H410" s="6" t="s">
        <v>13</v>
      </c>
    </row>
    <row r="411" customHeight="1" spans="1:8">
      <c r="A411" s="5" t="str">
        <f>"25782020081909081570"</f>
        <v>25782020081909081570</v>
      </c>
      <c r="B411" s="5" t="s">
        <v>9</v>
      </c>
      <c r="C411" s="5" t="s">
        <v>416</v>
      </c>
      <c r="D411" s="5" t="str">
        <f>"236000011420"</f>
        <v>236000011420</v>
      </c>
      <c r="E411" s="7">
        <v>49</v>
      </c>
      <c r="F411" s="7">
        <v>51</v>
      </c>
      <c r="G411" s="7">
        <f>E411*1.2*0.4+F411*1.2*0.6</f>
        <v>60.24</v>
      </c>
      <c r="H411" s="6" t="s">
        <v>13</v>
      </c>
    </row>
  </sheetData>
  <sortState ref="C3:R716">
    <sortCondition ref="G3:G716" descending="1"/>
  </sortState>
  <mergeCells count="1">
    <mergeCell ref="A1:H1"/>
  </mergeCells>
  <pageMargins left="0.75" right="0.75" top="1" bottom="1" header="0.5" footer="0.5"/>
  <pageSetup paperSize="8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泪过无痕</cp:lastModifiedBy>
  <dcterms:created xsi:type="dcterms:W3CDTF">2020-08-25T08:22:00Z</dcterms:created>
  <cp:lastPrinted>2020-08-31T10:25:00Z</cp:lastPrinted>
  <dcterms:modified xsi:type="dcterms:W3CDTF">2020-09-17T02:20:52Z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