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80" windowHeight="9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<sst xmlns="http://schemas.openxmlformats.org/spreadsheetml/2006/main" count="201">
  <si>
    <t>附件：</t>
  </si>
  <si>
    <t>2020年度淮北市事业单位公开招聘工作人员体检名单</t>
  </si>
  <si>
    <t>序号</t>
  </si>
  <si>
    <t>岗位代码</t>
  </si>
  <si>
    <t>准考证号码</t>
  </si>
  <si>
    <t>笔试合成成绩</t>
  </si>
  <si>
    <t>专业测试（面试）成绩</t>
  </si>
  <si>
    <t>总成绩（笔试合成成绩÷2×0.6+专业测试成绩×0.4）　　　　　　　　　　</t>
  </si>
  <si>
    <t>2020001-专业技术</t>
  </si>
  <si>
    <t>2020002-管理</t>
  </si>
  <si>
    <t>2020003-管理</t>
  </si>
  <si>
    <t>2020004-专业技术</t>
  </si>
  <si>
    <t>2020005-管理</t>
  </si>
  <si>
    <t>2020006-专业技术</t>
  </si>
  <si>
    <t>2020008-管理</t>
  </si>
  <si>
    <t>2020009-专业技术</t>
  </si>
  <si>
    <t>2020010-专业技术</t>
  </si>
  <si>
    <t>2020011-专业技术</t>
  </si>
  <si>
    <t>2020012-专业技术</t>
  </si>
  <si>
    <t>2020013-专业技术</t>
  </si>
  <si>
    <t>2020014-专业技术</t>
  </si>
  <si>
    <t>2020015-专业技术</t>
  </si>
  <si>
    <t>2020016-专业技术</t>
  </si>
  <si>
    <t>2020017-专业技术</t>
  </si>
  <si>
    <t>2020018-专业技术</t>
  </si>
  <si>
    <t>2020019-专业技术</t>
  </si>
  <si>
    <t>2020020-专业技术</t>
  </si>
  <si>
    <t>2020021-专业技术</t>
  </si>
  <si>
    <t>2020022-专业技术</t>
  </si>
  <si>
    <t>2020023-专业技术</t>
  </si>
  <si>
    <t>2020024-专业技术</t>
  </si>
  <si>
    <t>2020025-专业技术</t>
  </si>
  <si>
    <t>2020026-专业技术</t>
  </si>
  <si>
    <t>2020027-专业技术</t>
  </si>
  <si>
    <t>2020028-管理</t>
  </si>
  <si>
    <t>2020029-管理</t>
  </si>
  <si>
    <t>2020030-管理</t>
  </si>
  <si>
    <t>2020031-专业技术</t>
  </si>
  <si>
    <t>2020032-专业技术</t>
  </si>
  <si>
    <t>2020033-专业技术</t>
  </si>
  <si>
    <t>2020034-管理</t>
  </si>
  <si>
    <t>2020035-专业技术</t>
  </si>
  <si>
    <t>2020036-专业技术</t>
  </si>
  <si>
    <t>2020037-专业技术</t>
  </si>
  <si>
    <t>2020038-专业技术</t>
  </si>
  <si>
    <t>2020039-专业技术</t>
  </si>
  <si>
    <t>2020040-管理</t>
  </si>
  <si>
    <t>2020041-专业技术</t>
  </si>
  <si>
    <t>2020042-专业技术</t>
  </si>
  <si>
    <t>2020043-专业技术</t>
  </si>
  <si>
    <t>2020044-专业技术</t>
  </si>
  <si>
    <t>2020045-专业技术</t>
  </si>
  <si>
    <t>2020046-专业技术</t>
  </si>
  <si>
    <t>2020047-专业技术</t>
  </si>
  <si>
    <t>2020048-专业技术</t>
  </si>
  <si>
    <t>2020049-专业技术</t>
  </si>
  <si>
    <t>2020050-专业技术</t>
  </si>
  <si>
    <t>2020051-专业技术</t>
  </si>
  <si>
    <t>2020052-专业技术</t>
  </si>
  <si>
    <t>2020053-管理</t>
  </si>
  <si>
    <t>2020054-专业技术</t>
  </si>
  <si>
    <t>2020055-专业技术</t>
  </si>
  <si>
    <t>2020056-专业技术</t>
  </si>
  <si>
    <t>2020057-专业技术</t>
  </si>
  <si>
    <t>2020058-专业技术</t>
  </si>
  <si>
    <t>2020059-管理</t>
  </si>
  <si>
    <t>2020060-专业技术</t>
  </si>
  <si>
    <t>2020061-管理</t>
  </si>
  <si>
    <t>2020062-管理</t>
  </si>
  <si>
    <t>2020063-管理</t>
  </si>
  <si>
    <t>2020064-专业技术</t>
  </si>
  <si>
    <t>2020065-专业技术</t>
  </si>
  <si>
    <t>2020066-专业技术</t>
  </si>
  <si>
    <t>2020067-专业技术</t>
  </si>
  <si>
    <t>2020068-管理</t>
  </si>
  <si>
    <t>2020069-管理</t>
  </si>
  <si>
    <t>2020070-管理</t>
  </si>
  <si>
    <t>2020072-专业技术</t>
  </si>
  <si>
    <t>2020073-专业技术</t>
  </si>
  <si>
    <t>2020074-管理</t>
  </si>
  <si>
    <t>2020075-管理</t>
  </si>
  <si>
    <t>2020077-专业技术</t>
  </si>
  <si>
    <t>2020078-专业技术</t>
  </si>
  <si>
    <t>2020079-专业技术</t>
  </si>
  <si>
    <t>2020080-管理</t>
  </si>
  <si>
    <t>2020081-管理</t>
  </si>
  <si>
    <t>2020082-管理</t>
  </si>
  <si>
    <t>2020083-专业技术</t>
  </si>
  <si>
    <t>2020084-专业技术</t>
  </si>
  <si>
    <t>2020085-专业技术</t>
  </si>
  <si>
    <t>2020086-专业技术</t>
  </si>
  <si>
    <t>2020087-管理</t>
  </si>
  <si>
    <t>2020088-专业技术</t>
  </si>
  <si>
    <t>2020089-专业技术</t>
  </si>
  <si>
    <t>2020090-管理</t>
  </si>
  <si>
    <t>2020091-专业技术</t>
  </si>
  <si>
    <t>2020092-管理</t>
  </si>
  <si>
    <t>2020093-专业技术</t>
  </si>
  <si>
    <t>2020094-专业技术</t>
  </si>
  <si>
    <t>2020095-专业技术</t>
  </si>
  <si>
    <t>2020096-专业技术</t>
  </si>
  <si>
    <t>2020097-专业技术</t>
  </si>
  <si>
    <t>2020098-专业技术</t>
  </si>
  <si>
    <t>2020099-管理</t>
  </si>
  <si>
    <t>2020101-管理</t>
  </si>
  <si>
    <t>2020102-管理</t>
  </si>
  <si>
    <t>2020103-管理</t>
  </si>
  <si>
    <t>2020104-专业技术</t>
  </si>
  <si>
    <t>2020105-管理</t>
  </si>
  <si>
    <t>2020106-管理</t>
  </si>
  <si>
    <t>2020107-专业技术</t>
  </si>
  <si>
    <t>2020108-管理</t>
  </si>
  <si>
    <t>2020109-专业技术</t>
  </si>
  <si>
    <t>2020110-管理</t>
  </si>
  <si>
    <t>2020111-专业技术</t>
  </si>
  <si>
    <t>2020114-专业技术</t>
  </si>
  <si>
    <t>2020119-专业技术</t>
  </si>
  <si>
    <t>2020121-专业技术</t>
  </si>
  <si>
    <t>2020122-专业技术</t>
  </si>
  <si>
    <t>2020123-管理</t>
  </si>
  <si>
    <t>2020124-专业技术</t>
  </si>
  <si>
    <t>2020125-专业技术</t>
  </si>
  <si>
    <t>2020126-专业技术</t>
  </si>
  <si>
    <t>2020127-专业技术</t>
  </si>
  <si>
    <t>2020128-专业技术</t>
  </si>
  <si>
    <t>2020129-管理</t>
  </si>
  <si>
    <t>2020130-管理</t>
  </si>
  <si>
    <t>2020131-专业技术</t>
  </si>
  <si>
    <t>2020132-管理</t>
  </si>
  <si>
    <t>2020133-管理</t>
  </si>
  <si>
    <t>2020134-管理</t>
  </si>
  <si>
    <t>2020135-专业技术</t>
  </si>
  <si>
    <t>2020136-管理</t>
  </si>
  <si>
    <t>2020137-管理</t>
  </si>
  <si>
    <t>2020138-专业技术</t>
  </si>
  <si>
    <t>2020139-专业技术</t>
  </si>
  <si>
    <t>2020140-管理</t>
  </si>
  <si>
    <t>2020141-专业技术</t>
  </si>
  <si>
    <t>2020142-专业技术</t>
  </si>
  <si>
    <t>2020143-专业技术</t>
  </si>
  <si>
    <t>2020144-专业技术</t>
  </si>
  <si>
    <t>2020145-专业技术</t>
  </si>
  <si>
    <t>2020147-专业技术</t>
  </si>
  <si>
    <t>2020148-专业技术</t>
  </si>
  <si>
    <t>2020149-专业技术</t>
  </si>
  <si>
    <t>2020150-专业技术</t>
  </si>
  <si>
    <t>2020151-专业技术</t>
  </si>
  <si>
    <t>2020152-专业技术</t>
  </si>
  <si>
    <t>2020153-专业技术</t>
  </si>
  <si>
    <t>2020154-专业技术</t>
  </si>
  <si>
    <t>2020155-管理</t>
  </si>
  <si>
    <t>2020156-专业技术</t>
  </si>
  <si>
    <t>2020158-专业技术</t>
  </si>
  <si>
    <t>2020159-专业技术</t>
  </si>
  <si>
    <t>2020160-管理</t>
  </si>
  <si>
    <t>2020162-专业技术</t>
  </si>
  <si>
    <t>2020168-管理</t>
  </si>
  <si>
    <t>2020169-专业技术</t>
  </si>
  <si>
    <t>2020170-专业技术</t>
  </si>
  <si>
    <t>2020171-管理</t>
  </si>
  <si>
    <t>2020172-专业技术</t>
  </si>
  <si>
    <t>2020173-专业技术</t>
  </si>
  <si>
    <t>2020174-专业技术</t>
  </si>
  <si>
    <t>2020175-专业技术</t>
  </si>
  <si>
    <t>2020176-专业技术</t>
  </si>
  <si>
    <t>2020177-专业技术</t>
  </si>
  <si>
    <t>2020181-专业技术</t>
  </si>
  <si>
    <t>2020182-专业技术</t>
  </si>
  <si>
    <t>2020183-管理</t>
  </si>
  <si>
    <t>2020184-专业技术</t>
  </si>
  <si>
    <t>2020185-专业技术</t>
  </si>
  <si>
    <t>2020186-专业技术</t>
  </si>
  <si>
    <t>2020187-专业技术</t>
  </si>
  <si>
    <t>2020188-管理</t>
  </si>
  <si>
    <t>2020189-管理</t>
  </si>
  <si>
    <t>2020190-管理</t>
  </si>
  <si>
    <t>2020191-专业技术</t>
  </si>
  <si>
    <t>2020192-专业技术</t>
  </si>
  <si>
    <t>2020193-专业技术</t>
  </si>
  <si>
    <t>2020194-专业技术</t>
  </si>
  <si>
    <t>2020195-专业技术</t>
  </si>
  <si>
    <t>2020196-专业技术</t>
  </si>
  <si>
    <t>2020197-专业技术</t>
  </si>
  <si>
    <t>2020198-专业技术</t>
  </si>
  <si>
    <t>2020199-专业技术</t>
  </si>
  <si>
    <t>2020200-专业技术</t>
  </si>
  <si>
    <t>2020201-专业技术</t>
  </si>
  <si>
    <t>2020202-专业技术</t>
  </si>
  <si>
    <t>2020203-专业技术</t>
  </si>
  <si>
    <t>2020204-专业技术</t>
  </si>
  <si>
    <t>2020205-管理</t>
  </si>
  <si>
    <t>2020206-管理</t>
  </si>
  <si>
    <t>2020207-专业技术</t>
  </si>
  <si>
    <t>2020209-专业技术</t>
  </si>
  <si>
    <t>2020210-专业技术</t>
  </si>
  <si>
    <t>2020211-专业技术</t>
  </si>
  <si>
    <t>2020212-管理岗</t>
  </si>
  <si>
    <t>2020213-专业技术</t>
  </si>
  <si>
    <t>2020214-专业技术</t>
  </si>
  <si>
    <t>2020215-专业技术</t>
  </si>
  <si>
    <t>2020216-管理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</si>
</sst>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0.00;[Red]0.00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黑体"/>
      <charset val="134"/>
    </font>
    <font>
      <sz val="10"/>
      <color theme="1"/>
      <name val="Arial"/>
      <charset val="134"/>
    </font>
    <font>
      <sz val="10"/>
      <color theme="1"/>
      <name val="Arial"/>
      <charset val="0"/>
    </font>
    <font>
      <sz val="10"/>
      <color theme="1"/>
      <name val="宋体"/>
      <charset val="134"/>
      <scheme val="minor"/>
    </font>
    <font>
      <sz val="10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25" borderId="18" applyNumberFormat="0" applyAlignment="0" applyProtection="0">
      <alignment vertical="center"/>
    </xf>
    <xf numFmtId="0" fontId="21" fillId="25" borderId="15" applyNumberFormat="0" applyAlignment="0" applyProtection="0">
      <alignment vertical="center"/>
    </xf>
    <xf numFmtId="0" fontId="13" fillId="12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0"/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178" fontId="5" fillId="0" borderId="5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8" fontId="5" fillId="0" borderId="6" xfId="49" applyNumberFormat="1" applyFont="1" applyFill="1" applyBorder="1" applyAlignment="1">
      <alignment horizontal="center" vertical="center" wrapText="1"/>
    </xf>
    <xf numFmtId="178" fontId="5" fillId="0" borderId="7" xfId="49" applyNumberFormat="1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7" fillId="0" borderId="0" xfId="49" applyNumberFormat="1" applyFont="1" applyFill="1" applyBorder="1" applyAlignment="1">
      <alignment horizontal="center" vertical="center" wrapText="1"/>
    </xf>
    <xf numFmtId="178" fontId="5" fillId="0" borderId="9" xfId="49" applyNumberFormat="1" applyFont="1" applyFill="1" applyBorder="1" applyAlignment="1">
      <alignment horizontal="center" vertical="center" wrapText="1"/>
    </xf>
    <xf numFmtId="176" fontId="5" fillId="0" borderId="10" xfId="49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9"/>
  <sheetViews>
    <sheetView tabSelected="1" workbookViewId="0">
      <selection activeCell="A4" sqref="A4:A251"/>
    </sheetView>
  </sheetViews>
  <sheetFormatPr defaultColWidth="9" defaultRowHeight="14.4" outlineLevelCol="6"/>
  <cols>
    <col min="1" max="1" width="6.11111111111111" style="4" customWidth="1"/>
    <col min="2" max="2" width="20" style="4" customWidth="1"/>
    <col min="3" max="3" width="13.2222222222222" style="4" customWidth="1"/>
    <col min="4" max="4" width="13.3333333333333" style="4" customWidth="1"/>
    <col min="5" max="5" width="14.3333333333333" style="4" customWidth="1"/>
    <col min="6" max="6" width="18.7777777777778" style="4" customWidth="1"/>
    <col min="7" max="16384" width="9" style="4"/>
  </cols>
  <sheetData>
    <row r="1" ht="18" customHeight="1" spans="1:1">
      <c r="A1" s="5" t="s">
        <v>0</v>
      </c>
    </row>
    <row r="2" ht="54" customHeight="1" spans="1:6">
      <c r="A2" s="6" t="s">
        <v>1</v>
      </c>
      <c r="B2" s="6"/>
      <c r="C2" s="6"/>
      <c r="D2" s="6"/>
      <c r="E2" s="6"/>
      <c r="F2" s="6"/>
    </row>
    <row r="3" s="1" customFormat="1" ht="54.75" customHeight="1" spans="1:6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</row>
    <row r="4" s="1" customFormat="1" spans="1:6">
      <c r="A4" s="12">
        <v>1</v>
      </c>
      <c r="B4" s="12" t="s">
        <v>8</v>
      </c>
      <c r="C4" s="13" t="str">
        <f>"2020013920"</f>
        <v>2020013920</v>
      </c>
      <c r="D4" s="14">
        <v>154</v>
      </c>
      <c r="E4" s="15">
        <v>74.4</v>
      </c>
      <c r="F4" s="16">
        <f t="shared" ref="F4:F11" si="0">D4*0.5*0.6+E4*0.4</f>
        <v>75.96</v>
      </c>
    </row>
    <row r="5" s="1" customFormat="1" spans="1:6">
      <c r="A5" s="12">
        <v>2</v>
      </c>
      <c r="B5" s="12" t="s">
        <v>9</v>
      </c>
      <c r="C5" s="13" t="str">
        <f>"2020032819"</f>
        <v>2020032819</v>
      </c>
      <c r="D5" s="14">
        <v>155.4</v>
      </c>
      <c r="E5" s="15">
        <v>73.8</v>
      </c>
      <c r="F5" s="16">
        <f t="shared" si="0"/>
        <v>76.14</v>
      </c>
    </row>
    <row r="6" s="2" customFormat="1" spans="1:6">
      <c r="A6" s="12">
        <v>3</v>
      </c>
      <c r="B6" s="12" t="s">
        <v>10</v>
      </c>
      <c r="C6" s="13" t="str">
        <f>"2020043825"</f>
        <v>2020043825</v>
      </c>
      <c r="D6" s="14">
        <v>166.1</v>
      </c>
      <c r="E6" s="15">
        <v>76.2</v>
      </c>
      <c r="F6" s="16">
        <f t="shared" si="0"/>
        <v>80.31</v>
      </c>
    </row>
    <row r="7" s="2" customFormat="1" spans="1:6">
      <c r="A7" s="12">
        <v>4</v>
      </c>
      <c r="B7" s="12" t="s">
        <v>11</v>
      </c>
      <c r="C7" s="13" t="str">
        <f>"2020047207"</f>
        <v>2020047207</v>
      </c>
      <c r="D7" s="14">
        <v>155.8</v>
      </c>
      <c r="E7" s="15">
        <v>74.8</v>
      </c>
      <c r="F7" s="16">
        <f t="shared" si="0"/>
        <v>76.66</v>
      </c>
    </row>
    <row r="8" s="2" customFormat="1" spans="1:6">
      <c r="A8" s="12">
        <v>5</v>
      </c>
      <c r="B8" s="12" t="s">
        <v>12</v>
      </c>
      <c r="C8" s="13" t="str">
        <f>"2020012911"</f>
        <v>2020012911</v>
      </c>
      <c r="D8" s="14">
        <v>155.7</v>
      </c>
      <c r="E8" s="15">
        <v>76.4</v>
      </c>
      <c r="F8" s="16">
        <f t="shared" si="0"/>
        <v>77.27</v>
      </c>
    </row>
    <row r="9" s="2" customFormat="1" spans="1:6">
      <c r="A9" s="12">
        <v>6</v>
      </c>
      <c r="B9" s="12" t="s">
        <v>12</v>
      </c>
      <c r="C9" s="13" t="str">
        <f>"2020020213"</f>
        <v>2020020213</v>
      </c>
      <c r="D9" s="14">
        <v>153.7</v>
      </c>
      <c r="E9" s="17">
        <v>76.4</v>
      </c>
      <c r="F9" s="16">
        <f t="shared" si="0"/>
        <v>76.67</v>
      </c>
    </row>
    <row r="10" s="2" customFormat="1" spans="1:6">
      <c r="A10" s="12">
        <v>7</v>
      </c>
      <c r="B10" s="12" t="s">
        <v>13</v>
      </c>
      <c r="C10" s="13" t="str">
        <f>"2020045904"</f>
        <v>2020045904</v>
      </c>
      <c r="D10" s="14">
        <v>159.2</v>
      </c>
      <c r="E10" s="15">
        <v>74.6</v>
      </c>
      <c r="F10" s="16">
        <f t="shared" si="0"/>
        <v>77.6</v>
      </c>
    </row>
    <row r="11" s="2" customFormat="1" spans="1:6">
      <c r="A11" s="12">
        <v>8</v>
      </c>
      <c r="B11" s="12" t="s">
        <v>14</v>
      </c>
      <c r="C11" s="13" t="str">
        <f>"2020044005"</f>
        <v>2020044005</v>
      </c>
      <c r="D11" s="14">
        <v>161.6</v>
      </c>
      <c r="E11" s="18">
        <v>72.4</v>
      </c>
      <c r="F11" s="19">
        <f t="shared" si="0"/>
        <v>77.44</v>
      </c>
    </row>
    <row r="12" s="2" customFormat="1" spans="1:7">
      <c r="A12" s="12">
        <v>9</v>
      </c>
      <c r="B12" s="20" t="s">
        <v>15</v>
      </c>
      <c r="C12" s="21" t="str">
        <f>"2020024025"</f>
        <v>2020024025</v>
      </c>
      <c r="D12" s="14">
        <v>142.7</v>
      </c>
      <c r="E12" s="22">
        <v>87</v>
      </c>
      <c r="F12" s="23">
        <v>77.61</v>
      </c>
      <c r="G12" s="24"/>
    </row>
    <row r="13" s="2" customFormat="1" spans="1:7">
      <c r="A13" s="12">
        <v>10</v>
      </c>
      <c r="B13" s="20" t="s">
        <v>15</v>
      </c>
      <c r="C13" s="21" t="str">
        <f>"2020046827"</f>
        <v>2020046827</v>
      </c>
      <c r="D13" s="14">
        <v>138.2</v>
      </c>
      <c r="E13" s="22">
        <v>87.4</v>
      </c>
      <c r="F13" s="23">
        <v>76.42</v>
      </c>
      <c r="G13" s="24"/>
    </row>
    <row r="14" s="2" customFormat="1" spans="1:7">
      <c r="A14" s="12">
        <v>11</v>
      </c>
      <c r="B14" s="20" t="s">
        <v>16</v>
      </c>
      <c r="C14" s="21" t="str">
        <f>"2020046602"</f>
        <v>2020046602</v>
      </c>
      <c r="D14" s="14">
        <v>143.8</v>
      </c>
      <c r="E14" s="22">
        <v>86.4</v>
      </c>
      <c r="F14" s="23">
        <v>77.7</v>
      </c>
      <c r="G14" s="24"/>
    </row>
    <row r="15" s="2" customFormat="1" spans="1:7">
      <c r="A15" s="12">
        <v>12</v>
      </c>
      <c r="B15" s="20" t="s">
        <v>16</v>
      </c>
      <c r="C15" s="21" t="str">
        <f>"2020013513"</f>
        <v>2020013513</v>
      </c>
      <c r="D15" s="14">
        <v>142.3</v>
      </c>
      <c r="E15" s="22">
        <v>83.76</v>
      </c>
      <c r="F15" s="23">
        <v>76.19</v>
      </c>
      <c r="G15" s="24"/>
    </row>
    <row r="16" s="2" customFormat="1" spans="1:7">
      <c r="A16" s="12">
        <v>13</v>
      </c>
      <c r="B16" s="20" t="s">
        <v>17</v>
      </c>
      <c r="C16" s="21" t="str">
        <f>"2020047512"</f>
        <v>2020047512</v>
      </c>
      <c r="D16" s="14">
        <v>146.2</v>
      </c>
      <c r="E16" s="22">
        <v>78.52</v>
      </c>
      <c r="F16" s="23">
        <v>75.27</v>
      </c>
      <c r="G16" s="24"/>
    </row>
    <row r="17" s="2" customFormat="1" spans="1:7">
      <c r="A17" s="12">
        <v>14</v>
      </c>
      <c r="B17" s="20" t="s">
        <v>18</v>
      </c>
      <c r="C17" s="21" t="str">
        <f>"2020047524"</f>
        <v>2020047524</v>
      </c>
      <c r="D17" s="14">
        <v>166.8</v>
      </c>
      <c r="E17" s="22">
        <v>87.02</v>
      </c>
      <c r="F17" s="23">
        <v>84.85</v>
      </c>
      <c r="G17" s="24"/>
    </row>
    <row r="18" s="2" customFormat="1" spans="1:7">
      <c r="A18" s="12">
        <v>15</v>
      </c>
      <c r="B18" s="20" t="s">
        <v>19</v>
      </c>
      <c r="C18" s="21" t="str">
        <f>"2020012719"</f>
        <v>2020012719</v>
      </c>
      <c r="D18" s="14">
        <v>123.1</v>
      </c>
      <c r="E18" s="22">
        <v>84.4</v>
      </c>
      <c r="F18" s="23">
        <v>70.69</v>
      </c>
      <c r="G18" s="24"/>
    </row>
    <row r="19" s="2" customFormat="1" spans="1:7">
      <c r="A19" s="12">
        <v>16</v>
      </c>
      <c r="B19" s="20" t="s">
        <v>19</v>
      </c>
      <c r="C19" s="21" t="str">
        <f>"2020043913"</f>
        <v>2020043913</v>
      </c>
      <c r="D19" s="14">
        <v>120</v>
      </c>
      <c r="E19" s="22">
        <v>86.1</v>
      </c>
      <c r="F19" s="23">
        <v>70.44</v>
      </c>
      <c r="G19" s="24"/>
    </row>
    <row r="20" s="2" customFormat="1" spans="1:7">
      <c r="A20" s="12">
        <v>17</v>
      </c>
      <c r="B20" s="20" t="s">
        <v>20</v>
      </c>
      <c r="C20" s="21" t="str">
        <f>"2020042015"</f>
        <v>2020042015</v>
      </c>
      <c r="D20" s="14">
        <v>131</v>
      </c>
      <c r="E20" s="22">
        <v>79</v>
      </c>
      <c r="F20" s="23">
        <v>70.9</v>
      </c>
      <c r="G20" s="24"/>
    </row>
    <row r="21" s="2" customFormat="1" spans="1:7">
      <c r="A21" s="12">
        <v>18</v>
      </c>
      <c r="B21" s="20" t="s">
        <v>21</v>
      </c>
      <c r="C21" s="21" t="str">
        <f>"2020010817"</f>
        <v>2020010817</v>
      </c>
      <c r="D21" s="14">
        <v>139.2</v>
      </c>
      <c r="E21" s="22">
        <v>84.6</v>
      </c>
      <c r="F21" s="23">
        <v>75.6</v>
      </c>
      <c r="G21" s="24"/>
    </row>
    <row r="22" s="2" customFormat="1" spans="1:7">
      <c r="A22" s="12">
        <v>19</v>
      </c>
      <c r="B22" s="20" t="s">
        <v>22</v>
      </c>
      <c r="C22" s="21" t="str">
        <f>"2020042908"</f>
        <v>2020042908</v>
      </c>
      <c r="D22" s="14">
        <v>148.8</v>
      </c>
      <c r="E22" s="22">
        <v>83.4</v>
      </c>
      <c r="F22" s="23">
        <v>78</v>
      </c>
      <c r="G22" s="24"/>
    </row>
    <row r="23" s="2" customFormat="1" spans="1:7">
      <c r="A23" s="12">
        <v>20</v>
      </c>
      <c r="B23" s="20" t="s">
        <v>23</v>
      </c>
      <c r="C23" s="21" t="str">
        <f>"2020021228"</f>
        <v>2020021228</v>
      </c>
      <c r="D23" s="14">
        <v>135.8</v>
      </c>
      <c r="E23" s="22">
        <v>80.2</v>
      </c>
      <c r="F23" s="23">
        <v>72.82</v>
      </c>
      <c r="G23" s="24"/>
    </row>
    <row r="24" s="1" customFormat="1" spans="1:7">
      <c r="A24" s="12">
        <v>21</v>
      </c>
      <c r="B24" s="20" t="s">
        <v>24</v>
      </c>
      <c r="C24" s="21" t="str">
        <f>"2020045723"</f>
        <v>2020045723</v>
      </c>
      <c r="D24" s="14">
        <v>133</v>
      </c>
      <c r="E24" s="22">
        <v>76.34</v>
      </c>
      <c r="F24" s="23">
        <v>70.44</v>
      </c>
      <c r="G24" s="24"/>
    </row>
    <row r="25" s="1" customFormat="1" spans="1:7">
      <c r="A25" s="12">
        <v>22</v>
      </c>
      <c r="B25" s="20" t="s">
        <v>24</v>
      </c>
      <c r="C25" s="21" t="str">
        <f>"2020033413"</f>
        <v>2020033413</v>
      </c>
      <c r="D25" s="14">
        <v>142</v>
      </c>
      <c r="E25" s="22">
        <v>60.55</v>
      </c>
      <c r="F25" s="23">
        <v>66.82</v>
      </c>
      <c r="G25" s="24"/>
    </row>
    <row r="26" s="2" customFormat="1" spans="1:7">
      <c r="A26" s="12">
        <v>23</v>
      </c>
      <c r="B26" s="20" t="s">
        <v>25</v>
      </c>
      <c r="C26" s="21" t="str">
        <f>"2020023013"</f>
        <v>2020023013</v>
      </c>
      <c r="D26" s="14">
        <v>144.5</v>
      </c>
      <c r="E26" s="22">
        <v>84.74</v>
      </c>
      <c r="F26" s="23">
        <v>77.25</v>
      </c>
      <c r="G26" s="24"/>
    </row>
    <row r="27" s="2" customFormat="1" spans="1:7">
      <c r="A27" s="12">
        <v>24</v>
      </c>
      <c r="B27" s="20" t="s">
        <v>25</v>
      </c>
      <c r="C27" s="21" t="str">
        <f>"2020042311"</f>
        <v>2020042311</v>
      </c>
      <c r="D27" s="14">
        <v>142.7</v>
      </c>
      <c r="E27" s="22">
        <v>85.68</v>
      </c>
      <c r="F27" s="23">
        <v>77.08</v>
      </c>
      <c r="G27" s="24"/>
    </row>
    <row r="28" s="2" customFormat="1" spans="1:7">
      <c r="A28" s="12">
        <v>25</v>
      </c>
      <c r="B28" s="20" t="s">
        <v>25</v>
      </c>
      <c r="C28" s="21" t="str">
        <f>"2020030120"</f>
        <v>2020030120</v>
      </c>
      <c r="D28" s="14">
        <v>139</v>
      </c>
      <c r="E28" s="22">
        <v>87.42</v>
      </c>
      <c r="F28" s="23">
        <v>76.67</v>
      </c>
      <c r="G28" s="24"/>
    </row>
    <row r="29" s="2" customFormat="1" spans="1:7">
      <c r="A29" s="12">
        <v>26</v>
      </c>
      <c r="B29" s="20" t="s">
        <v>26</v>
      </c>
      <c r="C29" s="21" t="str">
        <f>"2020020125"</f>
        <v>2020020125</v>
      </c>
      <c r="D29" s="14">
        <v>159.3</v>
      </c>
      <c r="E29" s="22">
        <v>70.6</v>
      </c>
      <c r="F29" s="23">
        <v>76.03</v>
      </c>
      <c r="G29" s="24"/>
    </row>
    <row r="30" s="2" customFormat="1" spans="1:7">
      <c r="A30" s="12">
        <v>27</v>
      </c>
      <c r="B30" s="20" t="s">
        <v>27</v>
      </c>
      <c r="C30" s="21" t="str">
        <f>"2020022222"</f>
        <v>2020022222</v>
      </c>
      <c r="D30" s="14">
        <v>153.3</v>
      </c>
      <c r="E30" s="22">
        <v>82.7</v>
      </c>
      <c r="F30" s="23">
        <v>79.07</v>
      </c>
      <c r="G30" s="24"/>
    </row>
    <row r="31" s="2" customFormat="1" spans="1:7">
      <c r="A31" s="12">
        <v>28</v>
      </c>
      <c r="B31" s="20" t="s">
        <v>28</v>
      </c>
      <c r="C31" s="21" t="str">
        <f>"2020030729"</f>
        <v>2020030729</v>
      </c>
      <c r="D31" s="14">
        <v>152.3</v>
      </c>
      <c r="E31" s="22">
        <v>78.8</v>
      </c>
      <c r="F31" s="23">
        <v>77.21</v>
      </c>
      <c r="G31" s="24"/>
    </row>
    <row r="32" s="2" customFormat="1" spans="1:7">
      <c r="A32" s="12">
        <v>29</v>
      </c>
      <c r="B32" s="20" t="s">
        <v>29</v>
      </c>
      <c r="C32" s="21" t="str">
        <f>"2020042722"</f>
        <v>2020042722</v>
      </c>
      <c r="D32" s="14">
        <v>130.2</v>
      </c>
      <c r="E32" s="22">
        <v>84.7</v>
      </c>
      <c r="F32" s="23">
        <v>72.94</v>
      </c>
      <c r="G32" s="24"/>
    </row>
    <row r="33" s="2" customFormat="1" spans="1:7">
      <c r="A33" s="12">
        <v>30</v>
      </c>
      <c r="B33" s="20" t="s">
        <v>30</v>
      </c>
      <c r="C33" s="21" t="str">
        <f>"2020011020"</f>
        <v>2020011020</v>
      </c>
      <c r="D33" s="14">
        <v>147.4</v>
      </c>
      <c r="E33" s="22">
        <v>76.25</v>
      </c>
      <c r="F33" s="23">
        <v>74.72</v>
      </c>
      <c r="G33" s="24"/>
    </row>
    <row r="34" s="2" customFormat="1" spans="1:7">
      <c r="A34" s="12">
        <v>31</v>
      </c>
      <c r="B34" s="20" t="s">
        <v>31</v>
      </c>
      <c r="C34" s="21" t="str">
        <f>"2020047507"</f>
        <v>2020047507</v>
      </c>
      <c r="D34" s="14">
        <v>149.2</v>
      </c>
      <c r="E34" s="22">
        <v>80.97</v>
      </c>
      <c r="F34" s="23">
        <v>77.15</v>
      </c>
      <c r="G34" s="24"/>
    </row>
    <row r="35" s="2" customFormat="1" spans="1:7">
      <c r="A35" s="12">
        <v>32</v>
      </c>
      <c r="B35" s="20" t="s">
        <v>32</v>
      </c>
      <c r="C35" s="21" t="str">
        <f>"2020040126"</f>
        <v>2020040126</v>
      </c>
      <c r="D35" s="14">
        <v>156</v>
      </c>
      <c r="E35" s="22">
        <v>45.9</v>
      </c>
      <c r="F35" s="23">
        <v>65.16</v>
      </c>
      <c r="G35" s="24"/>
    </row>
    <row r="36" s="2" customFormat="1" spans="1:6">
      <c r="A36" s="12">
        <v>33</v>
      </c>
      <c r="B36" s="12" t="s">
        <v>33</v>
      </c>
      <c r="C36" s="13" t="str">
        <f>"2020012016"</f>
        <v>2020012016</v>
      </c>
      <c r="D36" s="14">
        <v>167.5</v>
      </c>
      <c r="E36" s="25">
        <v>75.2</v>
      </c>
      <c r="F36" s="26">
        <f t="shared" ref="F36:F99" si="1">D36*0.5*0.6+E36*0.4</f>
        <v>80.33</v>
      </c>
    </row>
    <row r="37" s="2" customFormat="1" spans="1:7">
      <c r="A37" s="12">
        <v>34</v>
      </c>
      <c r="B37" s="12" t="s">
        <v>34</v>
      </c>
      <c r="C37" s="13" t="str">
        <f>"2020021127"</f>
        <v>2020021127</v>
      </c>
      <c r="D37" s="14">
        <v>156.1</v>
      </c>
      <c r="E37" s="15">
        <v>75.2</v>
      </c>
      <c r="F37" s="16">
        <f t="shared" si="1"/>
        <v>76.91</v>
      </c>
      <c r="G37" s="27"/>
    </row>
    <row r="38" s="2" customFormat="1" spans="1:7">
      <c r="A38" s="12">
        <v>35</v>
      </c>
      <c r="B38" s="12" t="s">
        <v>34</v>
      </c>
      <c r="C38" s="13">
        <v>2020033601</v>
      </c>
      <c r="D38" s="14">
        <v>151.2</v>
      </c>
      <c r="E38" s="15">
        <v>78.6</v>
      </c>
      <c r="F38" s="16">
        <f t="shared" si="1"/>
        <v>76.8</v>
      </c>
      <c r="G38" s="27"/>
    </row>
    <row r="39" s="2" customFormat="1" spans="1:6">
      <c r="A39" s="12">
        <v>36</v>
      </c>
      <c r="B39" s="12" t="s">
        <v>35</v>
      </c>
      <c r="C39" s="13" t="str">
        <f>"2020041804"</f>
        <v>2020041804</v>
      </c>
      <c r="D39" s="14">
        <v>152.1</v>
      </c>
      <c r="E39" s="15">
        <v>76.2</v>
      </c>
      <c r="F39" s="16">
        <f t="shared" si="1"/>
        <v>76.11</v>
      </c>
    </row>
    <row r="40" s="2" customFormat="1" spans="1:6">
      <c r="A40" s="12">
        <v>37</v>
      </c>
      <c r="B40" s="12" t="s">
        <v>36</v>
      </c>
      <c r="C40" s="13" t="str">
        <f>"2020023320"</f>
        <v>2020023320</v>
      </c>
      <c r="D40" s="14">
        <v>169.6</v>
      </c>
      <c r="E40" s="15">
        <v>77.4</v>
      </c>
      <c r="F40" s="16">
        <f t="shared" si="1"/>
        <v>81.84</v>
      </c>
    </row>
    <row r="41" s="2" customFormat="1" spans="1:6">
      <c r="A41" s="12">
        <v>38</v>
      </c>
      <c r="B41" s="12" t="s">
        <v>37</v>
      </c>
      <c r="C41" s="13" t="str">
        <f>"2020031102"</f>
        <v>2020031102</v>
      </c>
      <c r="D41" s="14">
        <v>148.3</v>
      </c>
      <c r="E41" s="15">
        <v>75.3</v>
      </c>
      <c r="F41" s="16">
        <f t="shared" si="1"/>
        <v>74.61</v>
      </c>
    </row>
    <row r="42" s="2" customFormat="1" spans="1:6">
      <c r="A42" s="12">
        <v>39</v>
      </c>
      <c r="B42" s="12" t="s">
        <v>38</v>
      </c>
      <c r="C42" s="13" t="str">
        <f>"2020045524"</f>
        <v>2020045524</v>
      </c>
      <c r="D42" s="14">
        <v>152.1</v>
      </c>
      <c r="E42" s="15">
        <v>77.5</v>
      </c>
      <c r="F42" s="16">
        <f t="shared" si="1"/>
        <v>76.63</v>
      </c>
    </row>
    <row r="43" s="2" customFormat="1" spans="1:6">
      <c r="A43" s="12">
        <v>40</v>
      </c>
      <c r="B43" s="12" t="s">
        <v>39</v>
      </c>
      <c r="C43" s="13" t="str">
        <f>"2020032001"</f>
        <v>2020032001</v>
      </c>
      <c r="D43" s="14">
        <v>145.2</v>
      </c>
      <c r="E43" s="15">
        <v>79.9</v>
      </c>
      <c r="F43" s="16">
        <f t="shared" si="1"/>
        <v>75.52</v>
      </c>
    </row>
    <row r="44" s="2" customFormat="1" spans="1:6">
      <c r="A44" s="12">
        <v>41</v>
      </c>
      <c r="B44" s="12" t="s">
        <v>40</v>
      </c>
      <c r="C44" s="13" t="str">
        <f>"2020032908"</f>
        <v>2020032908</v>
      </c>
      <c r="D44" s="14">
        <v>160.4</v>
      </c>
      <c r="E44" s="15">
        <v>76.7</v>
      </c>
      <c r="F44" s="16">
        <f t="shared" si="1"/>
        <v>78.8</v>
      </c>
    </row>
    <row r="45" s="2" customFormat="1" spans="1:6">
      <c r="A45" s="12">
        <v>42</v>
      </c>
      <c r="B45" s="12" t="s">
        <v>40</v>
      </c>
      <c r="C45" s="13" t="str">
        <f>"2020030425"</f>
        <v>2020030425</v>
      </c>
      <c r="D45" s="14">
        <v>161.8</v>
      </c>
      <c r="E45" s="15">
        <v>74.8</v>
      </c>
      <c r="F45" s="16">
        <f t="shared" si="1"/>
        <v>78.46</v>
      </c>
    </row>
    <row r="46" s="2" customFormat="1" spans="1:6">
      <c r="A46" s="12">
        <v>43</v>
      </c>
      <c r="B46" s="12" t="s">
        <v>41</v>
      </c>
      <c r="C46" s="13" t="str">
        <f>"2020046922"</f>
        <v>2020046922</v>
      </c>
      <c r="D46" s="14">
        <v>146.6</v>
      </c>
      <c r="E46" s="15">
        <v>80</v>
      </c>
      <c r="F46" s="16">
        <f t="shared" si="1"/>
        <v>75.98</v>
      </c>
    </row>
    <row r="47" s="2" customFormat="1" spans="1:6">
      <c r="A47" s="12">
        <v>44</v>
      </c>
      <c r="B47" s="12" t="s">
        <v>42</v>
      </c>
      <c r="C47" s="13" t="str">
        <f>"2020022711"</f>
        <v>2020022711</v>
      </c>
      <c r="D47" s="14">
        <v>141.8</v>
      </c>
      <c r="E47" s="15">
        <v>78.2</v>
      </c>
      <c r="F47" s="16">
        <f t="shared" si="1"/>
        <v>73.82</v>
      </c>
    </row>
    <row r="48" s="2" customFormat="1" spans="1:6">
      <c r="A48" s="12">
        <v>45</v>
      </c>
      <c r="B48" s="12" t="s">
        <v>43</v>
      </c>
      <c r="C48" s="13" t="str">
        <f>"2020022308"</f>
        <v>2020022308</v>
      </c>
      <c r="D48" s="14">
        <v>158.6</v>
      </c>
      <c r="E48" s="15">
        <v>73.5</v>
      </c>
      <c r="F48" s="16">
        <f t="shared" si="1"/>
        <v>76.98</v>
      </c>
    </row>
    <row r="49" s="2" customFormat="1" spans="1:6">
      <c r="A49" s="12">
        <v>46</v>
      </c>
      <c r="B49" s="12" t="s">
        <v>44</v>
      </c>
      <c r="C49" s="13" t="str">
        <f>"2020047204"</f>
        <v>2020047204</v>
      </c>
      <c r="D49" s="14">
        <v>161.7</v>
      </c>
      <c r="E49" s="15">
        <v>75.9</v>
      </c>
      <c r="F49" s="16">
        <f t="shared" si="1"/>
        <v>78.87</v>
      </c>
    </row>
    <row r="50" s="2" customFormat="1" spans="1:6">
      <c r="A50" s="12">
        <v>47</v>
      </c>
      <c r="B50" s="12" t="s">
        <v>45</v>
      </c>
      <c r="C50" s="13" t="str">
        <f>"2020031024"</f>
        <v>2020031024</v>
      </c>
      <c r="D50" s="14">
        <v>159.2</v>
      </c>
      <c r="E50" s="15">
        <v>77.3</v>
      </c>
      <c r="F50" s="16">
        <f t="shared" si="1"/>
        <v>78.68</v>
      </c>
    </row>
    <row r="51" s="2" customFormat="1" spans="1:6">
      <c r="A51" s="12">
        <v>48</v>
      </c>
      <c r="B51" s="12" t="s">
        <v>46</v>
      </c>
      <c r="C51" s="13" t="str">
        <f>"2020046029"</f>
        <v>2020046029</v>
      </c>
      <c r="D51" s="14">
        <v>159.7</v>
      </c>
      <c r="E51" s="15">
        <v>74.4</v>
      </c>
      <c r="F51" s="16">
        <f t="shared" si="1"/>
        <v>77.67</v>
      </c>
    </row>
    <row r="52" s="2" customFormat="1" spans="1:6">
      <c r="A52" s="12">
        <v>49</v>
      </c>
      <c r="B52" s="12" t="s">
        <v>46</v>
      </c>
      <c r="C52" s="13" t="str">
        <f>"2020045407"</f>
        <v>2020045407</v>
      </c>
      <c r="D52" s="14">
        <v>153.3</v>
      </c>
      <c r="E52" s="15">
        <v>75</v>
      </c>
      <c r="F52" s="16">
        <f t="shared" si="1"/>
        <v>75.99</v>
      </c>
    </row>
    <row r="53" s="2" customFormat="1" spans="1:6">
      <c r="A53" s="12">
        <v>50</v>
      </c>
      <c r="B53" s="12" t="s">
        <v>47</v>
      </c>
      <c r="C53" s="13" t="str">
        <f>"2020041929"</f>
        <v>2020041929</v>
      </c>
      <c r="D53" s="14">
        <v>149.6</v>
      </c>
      <c r="E53" s="15">
        <v>76.6</v>
      </c>
      <c r="F53" s="16">
        <f t="shared" si="1"/>
        <v>75.52</v>
      </c>
    </row>
    <row r="54" s="2" customFormat="1" spans="1:6">
      <c r="A54" s="12">
        <v>51</v>
      </c>
      <c r="B54" s="12" t="s">
        <v>48</v>
      </c>
      <c r="C54" s="13" t="str">
        <f>"2020022922"</f>
        <v>2020022922</v>
      </c>
      <c r="D54" s="14">
        <v>141.1</v>
      </c>
      <c r="E54" s="15">
        <v>76</v>
      </c>
      <c r="F54" s="16">
        <f t="shared" si="1"/>
        <v>72.73</v>
      </c>
    </row>
    <row r="55" s="2" customFormat="1" spans="1:6">
      <c r="A55" s="12">
        <v>52</v>
      </c>
      <c r="B55" s="12" t="s">
        <v>49</v>
      </c>
      <c r="C55" s="13" t="str">
        <f>"2020034024"</f>
        <v>2020034024</v>
      </c>
      <c r="D55" s="14">
        <v>162.5</v>
      </c>
      <c r="E55" s="15">
        <v>81.7</v>
      </c>
      <c r="F55" s="16">
        <f t="shared" si="1"/>
        <v>81.43</v>
      </c>
    </row>
    <row r="56" s="2" customFormat="1" spans="1:6">
      <c r="A56" s="12">
        <v>53</v>
      </c>
      <c r="B56" s="12" t="s">
        <v>50</v>
      </c>
      <c r="C56" s="13" t="str">
        <f>"2020041013"</f>
        <v>2020041013</v>
      </c>
      <c r="D56" s="14">
        <v>139.1</v>
      </c>
      <c r="E56" s="15">
        <v>72.9</v>
      </c>
      <c r="F56" s="16">
        <f t="shared" si="1"/>
        <v>70.89</v>
      </c>
    </row>
    <row r="57" s="2" customFormat="1" spans="1:6">
      <c r="A57" s="12">
        <v>54</v>
      </c>
      <c r="B57" s="12" t="s">
        <v>51</v>
      </c>
      <c r="C57" s="13" t="str">
        <f>"2020013203"</f>
        <v>2020013203</v>
      </c>
      <c r="D57" s="14">
        <v>165.6</v>
      </c>
      <c r="E57" s="15">
        <v>81.2</v>
      </c>
      <c r="F57" s="16">
        <f t="shared" si="1"/>
        <v>82.16</v>
      </c>
    </row>
    <row r="58" s="2" customFormat="1" spans="1:6">
      <c r="A58" s="12">
        <v>55</v>
      </c>
      <c r="B58" s="12" t="s">
        <v>52</v>
      </c>
      <c r="C58" s="13" t="str">
        <f>"2020041828"</f>
        <v>2020041828</v>
      </c>
      <c r="D58" s="14">
        <v>151.7</v>
      </c>
      <c r="E58" s="15">
        <v>74.5</v>
      </c>
      <c r="F58" s="16">
        <f t="shared" si="1"/>
        <v>75.31</v>
      </c>
    </row>
    <row r="59" s="2" customFormat="1" spans="1:6">
      <c r="A59" s="12">
        <v>56</v>
      </c>
      <c r="B59" s="12" t="s">
        <v>53</v>
      </c>
      <c r="C59" s="13" t="str">
        <f>"2020047403"</f>
        <v>2020047403</v>
      </c>
      <c r="D59" s="14">
        <v>157.6</v>
      </c>
      <c r="E59" s="15">
        <v>72.9</v>
      </c>
      <c r="F59" s="16">
        <f t="shared" si="1"/>
        <v>76.44</v>
      </c>
    </row>
    <row r="60" s="2" customFormat="1" spans="1:6">
      <c r="A60" s="12">
        <v>57</v>
      </c>
      <c r="B60" s="12" t="s">
        <v>54</v>
      </c>
      <c r="C60" s="13" t="str">
        <f>"2020042421"</f>
        <v>2020042421</v>
      </c>
      <c r="D60" s="14">
        <v>159.6</v>
      </c>
      <c r="E60" s="15">
        <v>76.7</v>
      </c>
      <c r="F60" s="16">
        <f t="shared" si="1"/>
        <v>78.56</v>
      </c>
    </row>
    <row r="61" s="2" customFormat="1" spans="1:6">
      <c r="A61" s="12">
        <v>58</v>
      </c>
      <c r="B61" s="12" t="s">
        <v>55</v>
      </c>
      <c r="C61" s="13" t="str">
        <f>"2020032820"</f>
        <v>2020032820</v>
      </c>
      <c r="D61" s="14">
        <v>153</v>
      </c>
      <c r="E61" s="15">
        <v>77.7</v>
      </c>
      <c r="F61" s="16">
        <f t="shared" si="1"/>
        <v>76.98</v>
      </c>
    </row>
    <row r="62" s="2" customFormat="1" spans="1:6">
      <c r="A62" s="12">
        <v>59</v>
      </c>
      <c r="B62" s="12" t="s">
        <v>56</v>
      </c>
      <c r="C62" s="13" t="str">
        <f>"2020040324"</f>
        <v>2020040324</v>
      </c>
      <c r="D62" s="14">
        <v>148.4</v>
      </c>
      <c r="E62" s="15">
        <v>78.6</v>
      </c>
      <c r="F62" s="16">
        <f t="shared" si="1"/>
        <v>75.96</v>
      </c>
    </row>
    <row r="63" s="2" customFormat="1" spans="1:6">
      <c r="A63" s="12">
        <v>60</v>
      </c>
      <c r="B63" s="12" t="s">
        <v>56</v>
      </c>
      <c r="C63" s="13" t="str">
        <f>"2020040711"</f>
        <v>2020040711</v>
      </c>
      <c r="D63" s="14">
        <v>149.1</v>
      </c>
      <c r="E63" s="15">
        <v>77.3</v>
      </c>
      <c r="F63" s="16">
        <f t="shared" si="1"/>
        <v>75.65</v>
      </c>
    </row>
    <row r="64" s="2" customFormat="1" spans="1:6">
      <c r="A64" s="12">
        <v>61</v>
      </c>
      <c r="B64" s="12" t="s">
        <v>57</v>
      </c>
      <c r="C64" s="13" t="str">
        <f>"2020024014"</f>
        <v>2020024014</v>
      </c>
      <c r="D64" s="14">
        <v>147.9</v>
      </c>
      <c r="E64" s="15">
        <v>75.2</v>
      </c>
      <c r="F64" s="16">
        <f t="shared" si="1"/>
        <v>74.45</v>
      </c>
    </row>
    <row r="65" s="2" customFormat="1" spans="1:6">
      <c r="A65" s="12">
        <v>62</v>
      </c>
      <c r="B65" s="12" t="s">
        <v>58</v>
      </c>
      <c r="C65" s="13" t="str">
        <f>"2020045607"</f>
        <v>2020045607</v>
      </c>
      <c r="D65" s="14">
        <v>137.8</v>
      </c>
      <c r="E65" s="15">
        <v>73.2</v>
      </c>
      <c r="F65" s="16">
        <f t="shared" si="1"/>
        <v>70.62</v>
      </c>
    </row>
    <row r="66" s="2" customFormat="1" spans="1:6">
      <c r="A66" s="12">
        <v>63</v>
      </c>
      <c r="B66" s="12" t="s">
        <v>59</v>
      </c>
      <c r="C66" s="13" t="str">
        <f>"2020032505"</f>
        <v>2020032505</v>
      </c>
      <c r="D66" s="14">
        <v>139.2</v>
      </c>
      <c r="E66" s="15">
        <v>77.8</v>
      </c>
      <c r="F66" s="16">
        <f t="shared" si="1"/>
        <v>72.88</v>
      </c>
    </row>
    <row r="67" s="2" customFormat="1" spans="1:6">
      <c r="A67" s="12">
        <v>64</v>
      </c>
      <c r="B67" s="12" t="s">
        <v>60</v>
      </c>
      <c r="C67" s="13" t="str">
        <f>"2020031112"</f>
        <v>2020031112</v>
      </c>
      <c r="D67" s="14">
        <v>151.3</v>
      </c>
      <c r="E67" s="17">
        <v>76</v>
      </c>
      <c r="F67" s="16">
        <f t="shared" si="1"/>
        <v>75.79</v>
      </c>
    </row>
    <row r="68" s="2" customFormat="1" spans="1:6">
      <c r="A68" s="12">
        <v>65</v>
      </c>
      <c r="B68" s="12" t="s">
        <v>60</v>
      </c>
      <c r="C68" s="13" t="str">
        <f>"2020044105"</f>
        <v>2020044105</v>
      </c>
      <c r="D68" s="14">
        <v>140.3</v>
      </c>
      <c r="E68" s="15">
        <v>78.8</v>
      </c>
      <c r="F68" s="16">
        <f t="shared" si="1"/>
        <v>73.61</v>
      </c>
    </row>
    <row r="69" s="2" customFormat="1" spans="1:6">
      <c r="A69" s="12">
        <v>66</v>
      </c>
      <c r="B69" s="12" t="s">
        <v>61</v>
      </c>
      <c r="C69" s="13" t="str">
        <f>"2020012713"</f>
        <v>2020012713</v>
      </c>
      <c r="D69" s="14">
        <v>156.2</v>
      </c>
      <c r="E69" s="15">
        <v>75.2</v>
      </c>
      <c r="F69" s="16">
        <f t="shared" si="1"/>
        <v>76.94</v>
      </c>
    </row>
    <row r="70" s="2" customFormat="1" spans="1:6">
      <c r="A70" s="12">
        <v>67</v>
      </c>
      <c r="B70" s="12" t="s">
        <v>61</v>
      </c>
      <c r="C70" s="13" t="str">
        <f>"2020045117"</f>
        <v>2020045117</v>
      </c>
      <c r="D70" s="14">
        <v>153.3</v>
      </c>
      <c r="E70" s="15">
        <v>72.2</v>
      </c>
      <c r="F70" s="16">
        <f t="shared" si="1"/>
        <v>74.87</v>
      </c>
    </row>
    <row r="71" s="2" customFormat="1" spans="1:6">
      <c r="A71" s="12">
        <v>68</v>
      </c>
      <c r="B71" s="12" t="s">
        <v>62</v>
      </c>
      <c r="C71" s="13" t="str">
        <f>"2020024009"</f>
        <v>2020024009</v>
      </c>
      <c r="D71" s="14">
        <v>153.8</v>
      </c>
      <c r="E71" s="15">
        <v>73.4</v>
      </c>
      <c r="F71" s="16">
        <f t="shared" si="1"/>
        <v>75.5</v>
      </c>
    </row>
    <row r="72" s="2" customFormat="1" spans="1:6">
      <c r="A72" s="12">
        <v>69</v>
      </c>
      <c r="B72" s="12" t="s">
        <v>62</v>
      </c>
      <c r="C72" s="13" t="str">
        <f>"2020024717"</f>
        <v>2020024717</v>
      </c>
      <c r="D72" s="14">
        <v>140.4</v>
      </c>
      <c r="E72" s="15">
        <v>77.4</v>
      </c>
      <c r="F72" s="16">
        <f t="shared" si="1"/>
        <v>73.08</v>
      </c>
    </row>
    <row r="73" s="2" customFormat="1" spans="1:6">
      <c r="A73" s="12">
        <v>70</v>
      </c>
      <c r="B73" s="12" t="s">
        <v>63</v>
      </c>
      <c r="C73" s="13" t="str">
        <f>"2020021624"</f>
        <v>2020021624</v>
      </c>
      <c r="D73" s="14">
        <v>152.1</v>
      </c>
      <c r="E73" s="15">
        <v>72.2</v>
      </c>
      <c r="F73" s="16">
        <f t="shared" si="1"/>
        <v>74.51</v>
      </c>
    </row>
    <row r="74" s="2" customFormat="1" spans="1:6">
      <c r="A74" s="12">
        <v>71</v>
      </c>
      <c r="B74" s="12" t="s">
        <v>64</v>
      </c>
      <c r="C74" s="13" t="str">
        <f>"2020033419"</f>
        <v>2020033419</v>
      </c>
      <c r="D74" s="14">
        <v>159.1</v>
      </c>
      <c r="E74" s="15">
        <v>75.5</v>
      </c>
      <c r="F74" s="16">
        <f t="shared" si="1"/>
        <v>77.93</v>
      </c>
    </row>
    <row r="75" s="2" customFormat="1" spans="1:6">
      <c r="A75" s="12">
        <v>72</v>
      </c>
      <c r="B75" s="12" t="s">
        <v>64</v>
      </c>
      <c r="C75" s="13" t="str">
        <f>"2020046804"</f>
        <v>2020046804</v>
      </c>
      <c r="D75" s="14">
        <v>155.4</v>
      </c>
      <c r="E75" s="17">
        <v>75.8</v>
      </c>
      <c r="F75" s="16">
        <f t="shared" si="1"/>
        <v>76.94</v>
      </c>
    </row>
    <row r="76" s="2" customFormat="1" spans="1:6">
      <c r="A76" s="12">
        <v>73</v>
      </c>
      <c r="B76" s="12" t="s">
        <v>65</v>
      </c>
      <c r="C76" s="13" t="str">
        <f>"2020031329"</f>
        <v>2020031329</v>
      </c>
      <c r="D76" s="14">
        <v>157.3</v>
      </c>
      <c r="E76" s="15">
        <v>76.02</v>
      </c>
      <c r="F76" s="16">
        <f t="shared" si="1"/>
        <v>77.598</v>
      </c>
    </row>
    <row r="77" s="2" customFormat="1" spans="1:6">
      <c r="A77" s="12">
        <v>74</v>
      </c>
      <c r="B77" s="12" t="s">
        <v>65</v>
      </c>
      <c r="C77" s="13" t="str">
        <f>"2020012806"</f>
        <v>2020012806</v>
      </c>
      <c r="D77" s="14">
        <v>148.4</v>
      </c>
      <c r="E77" s="15">
        <v>74.08</v>
      </c>
      <c r="F77" s="16">
        <f t="shared" si="1"/>
        <v>74.152</v>
      </c>
    </row>
    <row r="78" s="2" customFormat="1" spans="1:6">
      <c r="A78" s="12">
        <v>75</v>
      </c>
      <c r="B78" s="12" t="s">
        <v>65</v>
      </c>
      <c r="C78" s="13" t="str">
        <f>"2020043830"</f>
        <v>2020043830</v>
      </c>
      <c r="D78" s="14">
        <v>147.7</v>
      </c>
      <c r="E78" s="15">
        <v>73.8</v>
      </c>
      <c r="F78" s="16">
        <f t="shared" si="1"/>
        <v>73.83</v>
      </c>
    </row>
    <row r="79" s="2" customFormat="1" spans="1:6">
      <c r="A79" s="12">
        <v>76</v>
      </c>
      <c r="B79" s="12" t="s">
        <v>66</v>
      </c>
      <c r="C79" s="13" t="str">
        <f>"2020042219"</f>
        <v>2020042219</v>
      </c>
      <c r="D79" s="14">
        <v>146.6</v>
      </c>
      <c r="E79" s="15">
        <v>75.3</v>
      </c>
      <c r="F79" s="16">
        <f t="shared" si="1"/>
        <v>74.1</v>
      </c>
    </row>
    <row r="80" s="2" customFormat="1" spans="1:6">
      <c r="A80" s="12">
        <v>77</v>
      </c>
      <c r="B80" s="12" t="s">
        <v>67</v>
      </c>
      <c r="C80" s="13" t="str">
        <f>"2020031410"</f>
        <v>2020031410</v>
      </c>
      <c r="D80" s="14">
        <v>157.6</v>
      </c>
      <c r="E80" s="15">
        <v>78.66</v>
      </c>
      <c r="F80" s="16">
        <f t="shared" si="1"/>
        <v>78.744</v>
      </c>
    </row>
    <row r="81" s="2" customFormat="1" spans="1:6">
      <c r="A81" s="12">
        <v>78</v>
      </c>
      <c r="B81" s="12" t="s">
        <v>67</v>
      </c>
      <c r="C81" s="13" t="str">
        <f>"2020023518"</f>
        <v>2020023518</v>
      </c>
      <c r="D81" s="14">
        <v>153.1</v>
      </c>
      <c r="E81" s="15">
        <v>79.7</v>
      </c>
      <c r="F81" s="16">
        <f t="shared" si="1"/>
        <v>77.81</v>
      </c>
    </row>
    <row r="82" s="2" customFormat="1" spans="1:6">
      <c r="A82" s="12">
        <v>79</v>
      </c>
      <c r="B82" s="12" t="s">
        <v>68</v>
      </c>
      <c r="C82" s="13" t="str">
        <f>"2020020406"</f>
        <v>2020020406</v>
      </c>
      <c r="D82" s="14">
        <v>146.9</v>
      </c>
      <c r="E82" s="15">
        <v>77.4</v>
      </c>
      <c r="F82" s="16">
        <f t="shared" si="1"/>
        <v>75.03</v>
      </c>
    </row>
    <row r="83" s="2" customFormat="1" spans="1:6">
      <c r="A83" s="12">
        <v>80</v>
      </c>
      <c r="B83" s="12" t="s">
        <v>68</v>
      </c>
      <c r="C83" s="13" t="str">
        <f>"2020041803"</f>
        <v>2020041803</v>
      </c>
      <c r="D83" s="14">
        <v>151.5</v>
      </c>
      <c r="E83" s="15">
        <v>73.4</v>
      </c>
      <c r="F83" s="16">
        <f t="shared" si="1"/>
        <v>74.81</v>
      </c>
    </row>
    <row r="84" s="2" customFormat="1" spans="1:6">
      <c r="A84" s="12">
        <v>81</v>
      </c>
      <c r="B84" s="12" t="s">
        <v>68</v>
      </c>
      <c r="C84" s="13" t="str">
        <f>"2020031403"</f>
        <v>2020031403</v>
      </c>
      <c r="D84" s="14">
        <v>146.9</v>
      </c>
      <c r="E84" s="15">
        <v>76.6</v>
      </c>
      <c r="F84" s="16">
        <f t="shared" si="1"/>
        <v>74.71</v>
      </c>
    </row>
    <row r="85" s="2" customFormat="1" spans="1:6">
      <c r="A85" s="12">
        <v>82</v>
      </c>
      <c r="B85" s="12" t="s">
        <v>68</v>
      </c>
      <c r="C85" s="13" t="str">
        <f>"2020020607"</f>
        <v>2020020607</v>
      </c>
      <c r="D85" s="14">
        <v>147</v>
      </c>
      <c r="E85" s="15">
        <v>73.4</v>
      </c>
      <c r="F85" s="16">
        <f t="shared" si="1"/>
        <v>73.46</v>
      </c>
    </row>
    <row r="86" s="2" customFormat="1" spans="1:6">
      <c r="A86" s="12">
        <v>83</v>
      </c>
      <c r="B86" s="12" t="s">
        <v>69</v>
      </c>
      <c r="C86" s="13" t="str">
        <f>"2020031811"</f>
        <v>2020031811</v>
      </c>
      <c r="D86" s="14">
        <v>146.9</v>
      </c>
      <c r="E86" s="15">
        <v>79.4</v>
      </c>
      <c r="F86" s="16">
        <f t="shared" si="1"/>
        <v>75.83</v>
      </c>
    </row>
    <row r="87" s="2" customFormat="1" spans="1:6">
      <c r="A87" s="12">
        <v>84</v>
      </c>
      <c r="B87" s="12" t="s">
        <v>69</v>
      </c>
      <c r="C87" s="13" t="str">
        <f>"2020041719"</f>
        <v>2020041719</v>
      </c>
      <c r="D87" s="14">
        <v>143.5</v>
      </c>
      <c r="E87" s="15">
        <v>79.2</v>
      </c>
      <c r="F87" s="16">
        <f t="shared" si="1"/>
        <v>74.73</v>
      </c>
    </row>
    <row r="88" s="2" customFormat="1" spans="1:6">
      <c r="A88" s="12">
        <v>85</v>
      </c>
      <c r="B88" s="12" t="s">
        <v>70</v>
      </c>
      <c r="C88" s="13" t="str">
        <f>"2020042304"</f>
        <v>2020042304</v>
      </c>
      <c r="D88" s="14">
        <v>153.3</v>
      </c>
      <c r="E88" s="15">
        <v>73.2</v>
      </c>
      <c r="F88" s="16">
        <f t="shared" si="1"/>
        <v>75.27</v>
      </c>
    </row>
    <row r="89" s="2" customFormat="1" spans="1:6">
      <c r="A89" s="12">
        <v>86</v>
      </c>
      <c r="B89" s="12" t="s">
        <v>71</v>
      </c>
      <c r="C89" s="13" t="str">
        <f>"2020040415"</f>
        <v>2020040415</v>
      </c>
      <c r="D89" s="14">
        <v>158.9</v>
      </c>
      <c r="E89" s="15">
        <v>73.6</v>
      </c>
      <c r="F89" s="16">
        <f t="shared" si="1"/>
        <v>77.11</v>
      </c>
    </row>
    <row r="90" s="2" customFormat="1" spans="1:6">
      <c r="A90" s="12">
        <v>87</v>
      </c>
      <c r="B90" s="12" t="s">
        <v>72</v>
      </c>
      <c r="C90" s="13" t="str">
        <f>"2020023218"</f>
        <v>2020023218</v>
      </c>
      <c r="D90" s="14">
        <v>131.6</v>
      </c>
      <c r="E90" s="15">
        <v>75.2</v>
      </c>
      <c r="F90" s="16">
        <f t="shared" si="1"/>
        <v>69.56</v>
      </c>
    </row>
    <row r="91" s="2" customFormat="1" spans="1:6">
      <c r="A91" s="12">
        <v>88</v>
      </c>
      <c r="B91" s="12" t="s">
        <v>73</v>
      </c>
      <c r="C91" s="13" t="str">
        <f>"2020024625"</f>
        <v>2020024625</v>
      </c>
      <c r="D91" s="14">
        <v>160.9</v>
      </c>
      <c r="E91" s="15">
        <v>71.8</v>
      </c>
      <c r="F91" s="16">
        <f t="shared" si="1"/>
        <v>76.99</v>
      </c>
    </row>
    <row r="92" s="2" customFormat="1" spans="1:6">
      <c r="A92" s="12">
        <v>89</v>
      </c>
      <c r="B92" s="12" t="s">
        <v>74</v>
      </c>
      <c r="C92" s="13" t="str">
        <f>"2020033228"</f>
        <v>2020033228</v>
      </c>
      <c r="D92" s="14">
        <v>147.1</v>
      </c>
      <c r="E92" s="17">
        <v>75.4</v>
      </c>
      <c r="F92" s="16">
        <f t="shared" si="1"/>
        <v>74.29</v>
      </c>
    </row>
    <row r="93" s="2" customFormat="1" spans="1:6">
      <c r="A93" s="12">
        <v>90</v>
      </c>
      <c r="B93" s="12" t="s">
        <v>75</v>
      </c>
      <c r="C93" s="13" t="str">
        <f>"2020023919"</f>
        <v>2020023919</v>
      </c>
      <c r="D93" s="14">
        <v>137.8</v>
      </c>
      <c r="E93" s="15">
        <v>75.3</v>
      </c>
      <c r="F93" s="16">
        <f t="shared" si="1"/>
        <v>71.46</v>
      </c>
    </row>
    <row r="94" s="2" customFormat="1" spans="1:6">
      <c r="A94" s="12">
        <v>91</v>
      </c>
      <c r="B94" s="12" t="s">
        <v>76</v>
      </c>
      <c r="C94" s="13" t="str">
        <f>"2020033501"</f>
        <v>2020033501</v>
      </c>
      <c r="D94" s="14">
        <v>147.7</v>
      </c>
      <c r="E94" s="17">
        <v>73</v>
      </c>
      <c r="F94" s="16">
        <f t="shared" si="1"/>
        <v>73.51</v>
      </c>
    </row>
    <row r="95" s="2" customFormat="1" spans="1:6">
      <c r="A95" s="12">
        <v>92</v>
      </c>
      <c r="B95" s="12" t="s">
        <v>76</v>
      </c>
      <c r="C95" s="13" t="str">
        <f>"2020010526"</f>
        <v>2020010526</v>
      </c>
      <c r="D95" s="14">
        <v>137</v>
      </c>
      <c r="E95" s="15">
        <v>70.2</v>
      </c>
      <c r="F95" s="16">
        <f t="shared" si="1"/>
        <v>69.18</v>
      </c>
    </row>
    <row r="96" s="2" customFormat="1" spans="1:6">
      <c r="A96" s="12">
        <v>93</v>
      </c>
      <c r="B96" s="12" t="s">
        <v>77</v>
      </c>
      <c r="C96" s="13" t="str">
        <f>"2020021923"</f>
        <v>2020021923</v>
      </c>
      <c r="D96" s="14">
        <v>143</v>
      </c>
      <c r="E96" s="15">
        <v>75</v>
      </c>
      <c r="F96" s="16">
        <f t="shared" si="1"/>
        <v>72.9</v>
      </c>
    </row>
    <row r="97" s="2" customFormat="1" spans="1:6">
      <c r="A97" s="12">
        <v>94</v>
      </c>
      <c r="B97" s="12" t="s">
        <v>77</v>
      </c>
      <c r="C97" s="13" t="str">
        <f>"2020044407"</f>
        <v>2020044407</v>
      </c>
      <c r="D97" s="14">
        <v>141.9</v>
      </c>
      <c r="E97" s="15">
        <v>73.4</v>
      </c>
      <c r="F97" s="16">
        <f t="shared" si="1"/>
        <v>71.93</v>
      </c>
    </row>
    <row r="98" s="2" customFormat="1" spans="1:6">
      <c r="A98" s="12">
        <v>95</v>
      </c>
      <c r="B98" s="12" t="s">
        <v>78</v>
      </c>
      <c r="C98" s="13" t="str">
        <f>"2020024323"</f>
        <v>2020024323</v>
      </c>
      <c r="D98" s="14">
        <v>152.7</v>
      </c>
      <c r="E98" s="15">
        <v>74.5</v>
      </c>
      <c r="F98" s="16">
        <f t="shared" si="1"/>
        <v>75.61</v>
      </c>
    </row>
    <row r="99" s="2" customFormat="1" spans="1:6">
      <c r="A99" s="12">
        <v>96</v>
      </c>
      <c r="B99" s="12" t="s">
        <v>79</v>
      </c>
      <c r="C99" s="13" t="str">
        <f>"2020043414"</f>
        <v>2020043414</v>
      </c>
      <c r="D99" s="14">
        <v>160.4</v>
      </c>
      <c r="E99" s="15">
        <v>74.3</v>
      </c>
      <c r="F99" s="16">
        <f t="shared" si="1"/>
        <v>77.84</v>
      </c>
    </row>
    <row r="100" s="2" customFormat="1" spans="1:6">
      <c r="A100" s="12">
        <v>97</v>
      </c>
      <c r="B100" s="12" t="s">
        <v>80</v>
      </c>
      <c r="C100" s="13" t="str">
        <f>"2020041110"</f>
        <v>2020041110</v>
      </c>
      <c r="D100" s="14">
        <v>129.4</v>
      </c>
      <c r="E100" s="15">
        <v>77.9</v>
      </c>
      <c r="F100" s="16">
        <f t="shared" ref="F100:F132" si="2">D100*0.5*0.6+E100*0.4</f>
        <v>69.98</v>
      </c>
    </row>
    <row r="101" s="2" customFormat="1" spans="1:6">
      <c r="A101" s="12">
        <v>98</v>
      </c>
      <c r="B101" s="12" t="s">
        <v>80</v>
      </c>
      <c r="C101" s="13" t="str">
        <f>"2020010509"</f>
        <v>2020010509</v>
      </c>
      <c r="D101" s="14">
        <v>127</v>
      </c>
      <c r="E101" s="15">
        <v>76.6</v>
      </c>
      <c r="F101" s="16">
        <f t="shared" si="2"/>
        <v>68.74</v>
      </c>
    </row>
    <row r="102" s="2" customFormat="1" spans="1:6">
      <c r="A102" s="12">
        <v>99</v>
      </c>
      <c r="B102" s="12" t="s">
        <v>81</v>
      </c>
      <c r="C102" s="13" t="str">
        <f>"2020012611"</f>
        <v>2020012611</v>
      </c>
      <c r="D102" s="14">
        <v>133.5</v>
      </c>
      <c r="E102" s="15">
        <v>82.7</v>
      </c>
      <c r="F102" s="16">
        <f t="shared" si="2"/>
        <v>73.13</v>
      </c>
    </row>
    <row r="103" s="2" customFormat="1" spans="1:6">
      <c r="A103" s="12">
        <v>100</v>
      </c>
      <c r="B103" s="12" t="s">
        <v>81</v>
      </c>
      <c r="C103" s="13" t="str">
        <f>"2020033718"</f>
        <v>2020033718</v>
      </c>
      <c r="D103" s="14">
        <v>133</v>
      </c>
      <c r="E103" s="15">
        <v>79.2</v>
      </c>
      <c r="F103" s="16">
        <f t="shared" si="2"/>
        <v>71.58</v>
      </c>
    </row>
    <row r="104" s="2" customFormat="1" spans="1:6">
      <c r="A104" s="12">
        <v>101</v>
      </c>
      <c r="B104" s="12" t="s">
        <v>81</v>
      </c>
      <c r="C104" s="13" t="str">
        <f>"2020033317"</f>
        <v>2020033317</v>
      </c>
      <c r="D104" s="14">
        <v>131.3</v>
      </c>
      <c r="E104" s="15">
        <v>77.4</v>
      </c>
      <c r="F104" s="16">
        <f t="shared" si="2"/>
        <v>70.35</v>
      </c>
    </row>
    <row r="105" s="2" customFormat="1" spans="1:6">
      <c r="A105" s="12">
        <v>102</v>
      </c>
      <c r="B105" s="12" t="s">
        <v>82</v>
      </c>
      <c r="C105" s="13" t="str">
        <f>"2020047515"</f>
        <v>2020047515</v>
      </c>
      <c r="D105" s="14">
        <v>156.3</v>
      </c>
      <c r="E105" s="15">
        <v>76.2</v>
      </c>
      <c r="F105" s="16">
        <f t="shared" si="2"/>
        <v>77.37</v>
      </c>
    </row>
    <row r="106" s="2" customFormat="1" spans="1:6">
      <c r="A106" s="12">
        <v>103</v>
      </c>
      <c r="B106" s="12" t="s">
        <v>82</v>
      </c>
      <c r="C106" s="13" t="str">
        <f>"2020021017"</f>
        <v>2020021017</v>
      </c>
      <c r="D106" s="14">
        <v>159.5</v>
      </c>
      <c r="E106" s="15">
        <v>73.2</v>
      </c>
      <c r="F106" s="16">
        <f t="shared" si="2"/>
        <v>77.13</v>
      </c>
    </row>
    <row r="107" s="2" customFormat="1" spans="1:6">
      <c r="A107" s="12">
        <v>104</v>
      </c>
      <c r="B107" s="12" t="s">
        <v>83</v>
      </c>
      <c r="C107" s="13" t="str">
        <f>"2020041515"</f>
        <v>2020041515</v>
      </c>
      <c r="D107" s="14">
        <v>152.5</v>
      </c>
      <c r="E107" s="15">
        <v>75.4</v>
      </c>
      <c r="F107" s="16">
        <f t="shared" si="2"/>
        <v>75.91</v>
      </c>
    </row>
    <row r="108" s="2" customFormat="1" spans="1:6">
      <c r="A108" s="12">
        <v>105</v>
      </c>
      <c r="B108" s="12" t="s">
        <v>84</v>
      </c>
      <c r="C108" s="13" t="str">
        <f>"2020013817"</f>
        <v>2020013817</v>
      </c>
      <c r="D108" s="14">
        <v>148.9</v>
      </c>
      <c r="E108" s="15">
        <v>74.4</v>
      </c>
      <c r="F108" s="16">
        <f t="shared" si="2"/>
        <v>74.43</v>
      </c>
    </row>
    <row r="109" s="2" customFormat="1" spans="1:6">
      <c r="A109" s="12">
        <v>106</v>
      </c>
      <c r="B109" s="12" t="s">
        <v>85</v>
      </c>
      <c r="C109" s="13" t="str">
        <f>"2020040621"</f>
        <v>2020040621</v>
      </c>
      <c r="D109" s="14">
        <v>133.6</v>
      </c>
      <c r="E109" s="15">
        <v>76.1</v>
      </c>
      <c r="F109" s="16">
        <f t="shared" si="2"/>
        <v>70.52</v>
      </c>
    </row>
    <row r="110" s="2" customFormat="1" spans="1:6">
      <c r="A110" s="12">
        <v>107</v>
      </c>
      <c r="B110" s="12" t="s">
        <v>85</v>
      </c>
      <c r="C110" s="13" t="str">
        <f>"2020040328"</f>
        <v>2020040328</v>
      </c>
      <c r="D110" s="14">
        <v>125</v>
      </c>
      <c r="E110" s="15">
        <v>73.3</v>
      </c>
      <c r="F110" s="16">
        <f t="shared" si="2"/>
        <v>66.82</v>
      </c>
    </row>
    <row r="111" s="2" customFormat="1" spans="1:6">
      <c r="A111" s="12">
        <v>108</v>
      </c>
      <c r="B111" s="12" t="s">
        <v>86</v>
      </c>
      <c r="C111" s="13" t="str">
        <f>"2020010517"</f>
        <v>2020010517</v>
      </c>
      <c r="D111" s="14">
        <v>159.7</v>
      </c>
      <c r="E111" s="15">
        <v>78.2</v>
      </c>
      <c r="F111" s="16">
        <f t="shared" si="2"/>
        <v>79.19</v>
      </c>
    </row>
    <row r="112" s="2" customFormat="1" spans="1:6">
      <c r="A112" s="12">
        <v>109</v>
      </c>
      <c r="B112" s="12" t="s">
        <v>86</v>
      </c>
      <c r="C112" s="13" t="str">
        <f>"2020044226"</f>
        <v>2020044226</v>
      </c>
      <c r="D112" s="14">
        <v>157.3</v>
      </c>
      <c r="E112" s="15">
        <v>74.7</v>
      </c>
      <c r="F112" s="16">
        <f t="shared" si="2"/>
        <v>77.07</v>
      </c>
    </row>
    <row r="113" s="2" customFormat="1" spans="1:6">
      <c r="A113" s="12">
        <v>110</v>
      </c>
      <c r="B113" s="12" t="s">
        <v>87</v>
      </c>
      <c r="C113" s="13" t="str">
        <f>"2020013701"</f>
        <v>2020013701</v>
      </c>
      <c r="D113" s="14">
        <v>161.7</v>
      </c>
      <c r="E113" s="15">
        <v>75.2</v>
      </c>
      <c r="F113" s="16">
        <f t="shared" si="2"/>
        <v>78.59</v>
      </c>
    </row>
    <row r="114" s="2" customFormat="1" spans="1:6">
      <c r="A114" s="12">
        <v>111</v>
      </c>
      <c r="B114" s="12" t="s">
        <v>88</v>
      </c>
      <c r="C114" s="13" t="str">
        <f>"2020031324"</f>
        <v>2020031324</v>
      </c>
      <c r="D114" s="14">
        <v>142.6</v>
      </c>
      <c r="E114" s="17">
        <v>75.9</v>
      </c>
      <c r="F114" s="16">
        <f t="shared" si="2"/>
        <v>73.14</v>
      </c>
    </row>
    <row r="115" s="2" customFormat="1" spans="1:6">
      <c r="A115" s="12">
        <v>112</v>
      </c>
      <c r="B115" s="12" t="s">
        <v>89</v>
      </c>
      <c r="C115" s="13" t="str">
        <f>"2020046921"</f>
        <v>2020046921</v>
      </c>
      <c r="D115" s="14">
        <v>137.3</v>
      </c>
      <c r="E115" s="15">
        <v>78.2</v>
      </c>
      <c r="F115" s="16">
        <f t="shared" si="2"/>
        <v>72.47</v>
      </c>
    </row>
    <row r="116" s="2" customFormat="1" spans="1:6">
      <c r="A116" s="12">
        <v>113</v>
      </c>
      <c r="B116" s="12" t="s">
        <v>90</v>
      </c>
      <c r="C116" s="13" t="str">
        <f>"2020021901"</f>
        <v>2020021901</v>
      </c>
      <c r="D116" s="14">
        <v>154.2</v>
      </c>
      <c r="E116" s="15">
        <v>77.9</v>
      </c>
      <c r="F116" s="16">
        <f t="shared" si="2"/>
        <v>77.42</v>
      </c>
    </row>
    <row r="117" s="2" customFormat="1" spans="1:6">
      <c r="A117" s="12">
        <v>114</v>
      </c>
      <c r="B117" s="12" t="s">
        <v>91</v>
      </c>
      <c r="C117" s="13" t="str">
        <f>"2020022803"</f>
        <v>2020022803</v>
      </c>
      <c r="D117" s="14">
        <v>145.3</v>
      </c>
      <c r="E117" s="15">
        <v>78.24</v>
      </c>
      <c r="F117" s="16">
        <f t="shared" si="2"/>
        <v>74.886</v>
      </c>
    </row>
    <row r="118" s="2" customFormat="1" spans="1:6">
      <c r="A118" s="12">
        <v>115</v>
      </c>
      <c r="B118" s="12" t="s">
        <v>92</v>
      </c>
      <c r="C118" s="13" t="str">
        <f>"2020042120"</f>
        <v>2020042120</v>
      </c>
      <c r="D118" s="14">
        <v>141</v>
      </c>
      <c r="E118" s="15">
        <v>74</v>
      </c>
      <c r="F118" s="16">
        <f t="shared" si="2"/>
        <v>71.9</v>
      </c>
    </row>
    <row r="119" s="2" customFormat="1" spans="1:6">
      <c r="A119" s="12">
        <v>116</v>
      </c>
      <c r="B119" s="12" t="s">
        <v>93</v>
      </c>
      <c r="C119" s="13" t="str">
        <f>"2020043115"</f>
        <v>2020043115</v>
      </c>
      <c r="D119" s="14">
        <v>154</v>
      </c>
      <c r="E119" s="15">
        <v>75.9</v>
      </c>
      <c r="F119" s="16">
        <f t="shared" si="2"/>
        <v>76.56</v>
      </c>
    </row>
    <row r="120" s="2" customFormat="1" spans="1:6">
      <c r="A120" s="12">
        <v>117</v>
      </c>
      <c r="B120" s="12" t="s">
        <v>94</v>
      </c>
      <c r="C120" s="13" t="str">
        <f>"2020030110"</f>
        <v>2020030110</v>
      </c>
      <c r="D120" s="14">
        <v>150.4</v>
      </c>
      <c r="E120" s="15">
        <v>78.1</v>
      </c>
      <c r="F120" s="16">
        <f t="shared" si="2"/>
        <v>76.36</v>
      </c>
    </row>
    <row r="121" s="2" customFormat="1" spans="1:6">
      <c r="A121" s="12">
        <v>118</v>
      </c>
      <c r="B121" s="12" t="s">
        <v>95</v>
      </c>
      <c r="C121" s="13" t="str">
        <f>"2020047318"</f>
        <v>2020047318</v>
      </c>
      <c r="D121" s="14">
        <v>162.8</v>
      </c>
      <c r="E121" s="15">
        <v>74.8</v>
      </c>
      <c r="F121" s="16">
        <f t="shared" si="2"/>
        <v>78.76</v>
      </c>
    </row>
    <row r="122" s="2" customFormat="1" spans="1:6">
      <c r="A122" s="12">
        <v>119</v>
      </c>
      <c r="B122" s="12" t="s">
        <v>95</v>
      </c>
      <c r="C122" s="13" t="str">
        <f>"2020042102"</f>
        <v>2020042102</v>
      </c>
      <c r="D122" s="14">
        <v>148.8</v>
      </c>
      <c r="E122" s="17">
        <v>73.1</v>
      </c>
      <c r="F122" s="16">
        <f t="shared" si="2"/>
        <v>73.88</v>
      </c>
    </row>
    <row r="123" s="2" customFormat="1" spans="1:6">
      <c r="A123" s="12">
        <v>120</v>
      </c>
      <c r="B123" s="12" t="s">
        <v>96</v>
      </c>
      <c r="C123" s="13" t="str">
        <f>"2020042921"</f>
        <v>2020042921</v>
      </c>
      <c r="D123" s="14">
        <v>158.2</v>
      </c>
      <c r="E123" s="15">
        <v>75.56</v>
      </c>
      <c r="F123" s="16">
        <f t="shared" si="2"/>
        <v>77.684</v>
      </c>
    </row>
    <row r="124" s="2" customFormat="1" spans="1:6">
      <c r="A124" s="12">
        <v>121</v>
      </c>
      <c r="B124" s="12" t="s">
        <v>97</v>
      </c>
      <c r="C124" s="13" t="str">
        <f>"2020040429"</f>
        <v>2020040429</v>
      </c>
      <c r="D124" s="14">
        <v>148.1</v>
      </c>
      <c r="E124" s="15">
        <v>73.4</v>
      </c>
      <c r="F124" s="16">
        <f t="shared" si="2"/>
        <v>73.79</v>
      </c>
    </row>
    <row r="125" s="2" customFormat="1" spans="1:6">
      <c r="A125" s="12">
        <v>122</v>
      </c>
      <c r="B125" s="12" t="s">
        <v>98</v>
      </c>
      <c r="C125" s="13" t="str">
        <f>"2020021206"</f>
        <v>2020021206</v>
      </c>
      <c r="D125" s="14">
        <v>162.2</v>
      </c>
      <c r="E125" s="15">
        <v>75.8</v>
      </c>
      <c r="F125" s="16">
        <f t="shared" si="2"/>
        <v>78.98</v>
      </c>
    </row>
    <row r="126" s="2" customFormat="1" spans="1:6">
      <c r="A126" s="12">
        <v>123</v>
      </c>
      <c r="B126" s="12" t="s">
        <v>99</v>
      </c>
      <c r="C126" s="13" t="str">
        <f>"2020011306"</f>
        <v>2020011306</v>
      </c>
      <c r="D126" s="14">
        <v>154.7</v>
      </c>
      <c r="E126" s="15">
        <v>73.9</v>
      </c>
      <c r="F126" s="16">
        <f t="shared" si="2"/>
        <v>75.97</v>
      </c>
    </row>
    <row r="127" s="2" customFormat="1" spans="1:6">
      <c r="A127" s="12">
        <v>124</v>
      </c>
      <c r="B127" s="12" t="s">
        <v>99</v>
      </c>
      <c r="C127" s="13" t="str">
        <f>"2020044101"</f>
        <v>2020044101</v>
      </c>
      <c r="D127" s="14">
        <v>148.7</v>
      </c>
      <c r="E127" s="15">
        <v>73.8</v>
      </c>
      <c r="F127" s="16">
        <f t="shared" si="2"/>
        <v>74.13</v>
      </c>
    </row>
    <row r="128" s="2" customFormat="1" spans="1:6">
      <c r="A128" s="12">
        <v>125</v>
      </c>
      <c r="B128" s="12" t="s">
        <v>100</v>
      </c>
      <c r="C128" s="13" t="str">
        <f>"2020046404"</f>
        <v>2020046404</v>
      </c>
      <c r="D128" s="14">
        <v>156.2</v>
      </c>
      <c r="E128" s="15">
        <v>73.7</v>
      </c>
      <c r="F128" s="16">
        <f t="shared" si="2"/>
        <v>76.34</v>
      </c>
    </row>
    <row r="129" s="2" customFormat="1" spans="1:6">
      <c r="A129" s="12">
        <v>126</v>
      </c>
      <c r="B129" s="12" t="s">
        <v>101</v>
      </c>
      <c r="C129" s="13" t="str">
        <f>"2020031321"</f>
        <v>2020031321</v>
      </c>
      <c r="D129" s="14">
        <v>154.9</v>
      </c>
      <c r="E129" s="15">
        <v>78.5</v>
      </c>
      <c r="F129" s="16">
        <f t="shared" si="2"/>
        <v>77.87</v>
      </c>
    </row>
    <row r="130" s="2" customFormat="1" spans="1:6">
      <c r="A130" s="12">
        <v>127</v>
      </c>
      <c r="B130" s="12" t="s">
        <v>102</v>
      </c>
      <c r="C130" s="13" t="str">
        <f>"2020045927"</f>
        <v>2020045927</v>
      </c>
      <c r="D130" s="14">
        <v>150.5</v>
      </c>
      <c r="E130" s="15">
        <v>76.1</v>
      </c>
      <c r="F130" s="16">
        <f t="shared" si="2"/>
        <v>75.59</v>
      </c>
    </row>
    <row r="131" s="2" customFormat="1" spans="1:6">
      <c r="A131" s="12">
        <v>128</v>
      </c>
      <c r="B131" s="12" t="s">
        <v>103</v>
      </c>
      <c r="C131" s="13" t="str">
        <f>"2020041623"</f>
        <v>2020041623</v>
      </c>
      <c r="D131" s="14">
        <v>149.4</v>
      </c>
      <c r="E131" s="15">
        <v>72</v>
      </c>
      <c r="F131" s="16">
        <f t="shared" si="2"/>
        <v>73.62</v>
      </c>
    </row>
    <row r="132" s="2" customFormat="1" spans="1:6">
      <c r="A132" s="12">
        <v>129</v>
      </c>
      <c r="B132" s="12" t="s">
        <v>103</v>
      </c>
      <c r="C132" s="13" t="str">
        <f>"2020041310"</f>
        <v>2020041310</v>
      </c>
      <c r="D132" s="14">
        <v>145.3</v>
      </c>
      <c r="E132" s="15">
        <v>72.8</v>
      </c>
      <c r="F132" s="16">
        <f t="shared" si="2"/>
        <v>72.71</v>
      </c>
    </row>
    <row r="133" s="2" customFormat="1" spans="1:6">
      <c r="A133" s="12">
        <v>130</v>
      </c>
      <c r="B133" s="12" t="s">
        <v>104</v>
      </c>
      <c r="C133" s="13" t="str">
        <f>"2020023506"</f>
        <v>2020023506</v>
      </c>
      <c r="D133" s="14">
        <v>147</v>
      </c>
      <c r="E133" s="15">
        <v>77.8</v>
      </c>
      <c r="F133" s="16">
        <f t="shared" ref="F133:F143" si="3">D133*0.5*0.6+E133*0.4</f>
        <v>75.22</v>
      </c>
    </row>
    <row r="134" s="2" customFormat="1" spans="1:6">
      <c r="A134" s="12">
        <v>131</v>
      </c>
      <c r="B134" s="12" t="s">
        <v>105</v>
      </c>
      <c r="C134" s="13" t="str">
        <f>"2020047425"</f>
        <v>2020047425</v>
      </c>
      <c r="D134" s="14">
        <v>160.2</v>
      </c>
      <c r="E134" s="15">
        <v>73.8</v>
      </c>
      <c r="F134" s="16">
        <f t="shared" si="3"/>
        <v>77.58</v>
      </c>
    </row>
    <row r="135" s="2" customFormat="1" spans="1:6">
      <c r="A135" s="12">
        <v>132</v>
      </c>
      <c r="B135" s="12" t="s">
        <v>106</v>
      </c>
      <c r="C135" s="13" t="str">
        <f>"2020045124"</f>
        <v>2020045124</v>
      </c>
      <c r="D135" s="14">
        <v>150.3</v>
      </c>
      <c r="E135" s="15">
        <v>83</v>
      </c>
      <c r="F135" s="16">
        <f t="shared" si="3"/>
        <v>78.29</v>
      </c>
    </row>
    <row r="136" s="2" customFormat="1" spans="1:6">
      <c r="A136" s="12">
        <v>133</v>
      </c>
      <c r="B136" s="12" t="s">
        <v>107</v>
      </c>
      <c r="C136" s="13" t="str">
        <f>"2020044011"</f>
        <v>2020044011</v>
      </c>
      <c r="D136" s="14">
        <v>131.3</v>
      </c>
      <c r="E136" s="15">
        <v>73.6</v>
      </c>
      <c r="F136" s="16">
        <f t="shared" si="3"/>
        <v>68.83</v>
      </c>
    </row>
    <row r="137" s="2" customFormat="1" spans="1:6">
      <c r="A137" s="12">
        <v>134</v>
      </c>
      <c r="B137" s="12" t="s">
        <v>108</v>
      </c>
      <c r="C137" s="13" t="str">
        <f>"2020042113"</f>
        <v>2020042113</v>
      </c>
      <c r="D137" s="14">
        <v>159.9</v>
      </c>
      <c r="E137" s="15">
        <v>79.8</v>
      </c>
      <c r="F137" s="16">
        <f t="shared" si="3"/>
        <v>79.89</v>
      </c>
    </row>
    <row r="138" s="2" customFormat="1" spans="1:6">
      <c r="A138" s="12">
        <v>135</v>
      </c>
      <c r="B138" s="12" t="s">
        <v>109</v>
      </c>
      <c r="C138" s="13" t="str">
        <f>"2020045101"</f>
        <v>2020045101</v>
      </c>
      <c r="D138" s="14">
        <v>144.8</v>
      </c>
      <c r="E138" s="15">
        <v>72.4</v>
      </c>
      <c r="F138" s="16">
        <f t="shared" si="3"/>
        <v>72.4</v>
      </c>
    </row>
    <row r="139" s="2" customFormat="1" spans="1:6">
      <c r="A139" s="12">
        <v>136</v>
      </c>
      <c r="B139" s="12" t="s">
        <v>110</v>
      </c>
      <c r="C139" s="13" t="str">
        <f>"2020044820"</f>
        <v>2020044820</v>
      </c>
      <c r="D139" s="14">
        <v>152.7</v>
      </c>
      <c r="E139" s="15">
        <v>75.2</v>
      </c>
      <c r="F139" s="16">
        <f t="shared" si="3"/>
        <v>75.89</v>
      </c>
    </row>
    <row r="140" s="2" customFormat="1" spans="1:6">
      <c r="A140" s="12">
        <v>137</v>
      </c>
      <c r="B140" s="12" t="s">
        <v>111</v>
      </c>
      <c r="C140" s="13" t="str">
        <f>"2020022027"</f>
        <v>2020022027</v>
      </c>
      <c r="D140" s="14">
        <v>147.3</v>
      </c>
      <c r="E140" s="15">
        <v>75.5</v>
      </c>
      <c r="F140" s="16">
        <f t="shared" si="3"/>
        <v>74.39</v>
      </c>
    </row>
    <row r="141" s="2" customFormat="1" spans="1:6">
      <c r="A141" s="12">
        <v>138</v>
      </c>
      <c r="B141" s="12" t="s">
        <v>112</v>
      </c>
      <c r="C141" s="13" t="str">
        <f>"2020032309"</f>
        <v>2020032309</v>
      </c>
      <c r="D141" s="14">
        <v>156.9</v>
      </c>
      <c r="E141" s="15">
        <v>76.3</v>
      </c>
      <c r="F141" s="16">
        <f t="shared" si="3"/>
        <v>77.59</v>
      </c>
    </row>
    <row r="142" s="2" customFormat="1" spans="1:6">
      <c r="A142" s="12">
        <v>139</v>
      </c>
      <c r="B142" s="12" t="s">
        <v>113</v>
      </c>
      <c r="C142" s="13" t="str">
        <f>"2020011718"</f>
        <v>2020011718</v>
      </c>
      <c r="D142" s="14">
        <v>158.4</v>
      </c>
      <c r="E142" s="15">
        <v>75</v>
      </c>
      <c r="F142" s="16">
        <f t="shared" si="3"/>
        <v>77.52</v>
      </c>
    </row>
    <row r="143" s="2" customFormat="1" spans="1:6">
      <c r="A143" s="12">
        <v>140</v>
      </c>
      <c r="B143" s="12" t="s">
        <v>114</v>
      </c>
      <c r="C143" s="13" t="str">
        <f>"2020046415"</f>
        <v>2020046415</v>
      </c>
      <c r="D143" s="14">
        <v>165.3</v>
      </c>
      <c r="E143" s="15">
        <v>76.3</v>
      </c>
      <c r="F143" s="16">
        <f t="shared" si="3"/>
        <v>80.11</v>
      </c>
    </row>
    <row r="144" s="3" customFormat="1" spans="1:7">
      <c r="A144" s="12">
        <v>141</v>
      </c>
      <c r="B144" s="20" t="s">
        <v>115</v>
      </c>
      <c r="C144" s="21" t="str">
        <f>"2020020706"</f>
        <v>2020020706</v>
      </c>
      <c r="D144" s="14">
        <v>133.9</v>
      </c>
      <c r="E144" s="28">
        <v>80</v>
      </c>
      <c r="F144" s="29">
        <v>72.17</v>
      </c>
      <c r="G144" s="24"/>
    </row>
    <row r="145" s="3" customFormat="1" spans="1:7">
      <c r="A145" s="12">
        <v>142</v>
      </c>
      <c r="B145" s="20" t="s">
        <v>116</v>
      </c>
      <c r="C145" s="21" t="str">
        <f>"2020022201"</f>
        <v>2020022201</v>
      </c>
      <c r="D145" s="14">
        <v>135.6</v>
      </c>
      <c r="E145" s="28">
        <v>85</v>
      </c>
      <c r="F145" s="29">
        <v>74.68</v>
      </c>
      <c r="G145" s="24"/>
    </row>
    <row r="146" s="3" customFormat="1" spans="1:7">
      <c r="A146" s="12">
        <v>143</v>
      </c>
      <c r="B146" s="20" t="s">
        <v>116</v>
      </c>
      <c r="C146" s="21" t="str">
        <f>"2020046112"</f>
        <v>2020046112</v>
      </c>
      <c r="D146" s="14">
        <v>141.3</v>
      </c>
      <c r="E146" s="28">
        <v>80.4</v>
      </c>
      <c r="F146" s="29">
        <v>74.55</v>
      </c>
      <c r="G146" s="24"/>
    </row>
    <row r="147" s="3" customFormat="1" spans="1:7">
      <c r="A147" s="12">
        <v>144</v>
      </c>
      <c r="B147" s="20" t="s">
        <v>117</v>
      </c>
      <c r="C147" s="21" t="str">
        <f>"2020030802"</f>
        <v>2020030802</v>
      </c>
      <c r="D147" s="14">
        <v>139.7</v>
      </c>
      <c r="E147" s="28">
        <v>88.22</v>
      </c>
      <c r="F147" s="29">
        <v>77.2</v>
      </c>
      <c r="G147" s="24"/>
    </row>
    <row r="148" s="3" customFormat="1" spans="1:7">
      <c r="A148" s="12">
        <v>145</v>
      </c>
      <c r="B148" s="20" t="s">
        <v>118</v>
      </c>
      <c r="C148" s="21" t="str">
        <f>"2020030803"</f>
        <v>2020030803</v>
      </c>
      <c r="D148" s="14">
        <v>130.2</v>
      </c>
      <c r="E148" s="28">
        <v>84.68</v>
      </c>
      <c r="F148" s="29">
        <v>72.93</v>
      </c>
      <c r="G148" s="24"/>
    </row>
    <row r="149" s="2" customFormat="1" spans="1:6">
      <c r="A149" s="12">
        <v>146</v>
      </c>
      <c r="B149" s="12" t="s">
        <v>119</v>
      </c>
      <c r="C149" s="13" t="str">
        <f>"2020042216"</f>
        <v>2020042216</v>
      </c>
      <c r="D149" s="14">
        <v>152.5</v>
      </c>
      <c r="E149" s="15">
        <v>73.6</v>
      </c>
      <c r="F149" s="16">
        <f t="shared" ref="F149:F151" si="4">D149*0.5*0.6+E149*0.4</f>
        <v>75.19</v>
      </c>
    </row>
    <row r="150" s="2" customFormat="1" spans="1:6">
      <c r="A150" s="12">
        <v>147</v>
      </c>
      <c r="B150" s="12" t="s">
        <v>120</v>
      </c>
      <c r="C150" s="13" t="str">
        <f>"2020044214"</f>
        <v>2020044214</v>
      </c>
      <c r="D150" s="14">
        <v>162.6</v>
      </c>
      <c r="E150" s="15">
        <v>75.2</v>
      </c>
      <c r="F150" s="16">
        <f t="shared" si="4"/>
        <v>78.86</v>
      </c>
    </row>
    <row r="151" s="2" customFormat="1" spans="1:6">
      <c r="A151" s="12">
        <v>148</v>
      </c>
      <c r="B151" s="12" t="s">
        <v>121</v>
      </c>
      <c r="C151" s="13" t="str">
        <f>"2020020201"</f>
        <v>2020020201</v>
      </c>
      <c r="D151" s="14">
        <v>155.2</v>
      </c>
      <c r="E151" s="17">
        <v>73.3</v>
      </c>
      <c r="F151" s="16">
        <f t="shared" si="4"/>
        <v>75.88</v>
      </c>
    </row>
    <row r="152" s="3" customFormat="1" spans="1:7">
      <c r="A152" s="12">
        <v>149</v>
      </c>
      <c r="B152" s="20" t="s">
        <v>122</v>
      </c>
      <c r="C152" s="21" t="str">
        <f>"2020046001"</f>
        <v>2020046001</v>
      </c>
      <c r="D152" s="14">
        <v>137.8</v>
      </c>
      <c r="E152" s="15">
        <v>73</v>
      </c>
      <c r="F152" s="20">
        <v>70.54</v>
      </c>
      <c r="G152" s="24"/>
    </row>
    <row r="153" s="2" customFormat="1" spans="1:6">
      <c r="A153" s="12">
        <v>150</v>
      </c>
      <c r="B153" s="12" t="s">
        <v>123</v>
      </c>
      <c r="C153" s="13" t="str">
        <f>"2020023601"</f>
        <v>2020023601</v>
      </c>
      <c r="D153" s="14">
        <v>129.7</v>
      </c>
      <c r="E153" s="15">
        <v>78.9</v>
      </c>
      <c r="F153" s="16">
        <f t="shared" ref="F153:F216" si="5">D153*0.5*0.6+E153*0.4</f>
        <v>70.47</v>
      </c>
    </row>
    <row r="154" s="2" customFormat="1" spans="1:6">
      <c r="A154" s="12">
        <v>151</v>
      </c>
      <c r="B154" s="12" t="s">
        <v>124</v>
      </c>
      <c r="C154" s="13" t="str">
        <f>"2020014020"</f>
        <v>2020014020</v>
      </c>
      <c r="D154" s="14">
        <v>125.7</v>
      </c>
      <c r="E154" s="15">
        <v>75.6</v>
      </c>
      <c r="F154" s="16">
        <f t="shared" si="5"/>
        <v>67.95</v>
      </c>
    </row>
    <row r="155" s="2" customFormat="1" spans="1:6">
      <c r="A155" s="12">
        <v>152</v>
      </c>
      <c r="B155" s="12" t="s">
        <v>125</v>
      </c>
      <c r="C155" s="13" t="str">
        <f>"2020013630"</f>
        <v>2020013630</v>
      </c>
      <c r="D155" s="14">
        <v>153.7</v>
      </c>
      <c r="E155" s="15">
        <v>74.4</v>
      </c>
      <c r="F155" s="16">
        <f t="shared" si="5"/>
        <v>75.87</v>
      </c>
    </row>
    <row r="156" s="2" customFormat="1" spans="1:6">
      <c r="A156" s="12">
        <v>153</v>
      </c>
      <c r="B156" s="12" t="s">
        <v>126</v>
      </c>
      <c r="C156" s="13" t="str">
        <f>"2020031926"</f>
        <v>2020031926</v>
      </c>
      <c r="D156" s="14">
        <v>155.7</v>
      </c>
      <c r="E156" s="15">
        <v>75.8</v>
      </c>
      <c r="F156" s="16">
        <f t="shared" si="5"/>
        <v>77.03</v>
      </c>
    </row>
    <row r="157" s="2" customFormat="1" spans="1:6">
      <c r="A157" s="12">
        <v>154</v>
      </c>
      <c r="B157" s="12" t="s">
        <v>126</v>
      </c>
      <c r="C157" s="13" t="str">
        <f>"2020021311"</f>
        <v>2020021311</v>
      </c>
      <c r="D157" s="14">
        <v>147.9</v>
      </c>
      <c r="E157" s="15">
        <v>79.2</v>
      </c>
      <c r="F157" s="16">
        <f t="shared" si="5"/>
        <v>76.05</v>
      </c>
    </row>
    <row r="158" s="2" customFormat="1" spans="1:6">
      <c r="A158" s="12">
        <v>155</v>
      </c>
      <c r="B158" s="12" t="s">
        <v>126</v>
      </c>
      <c r="C158" s="13" t="str">
        <f>"2020013625"</f>
        <v>2020013625</v>
      </c>
      <c r="D158" s="14">
        <v>151.8</v>
      </c>
      <c r="E158" s="15">
        <v>76.2</v>
      </c>
      <c r="F158" s="16">
        <f t="shared" si="5"/>
        <v>76.02</v>
      </c>
    </row>
    <row r="159" s="2" customFormat="1" spans="1:6">
      <c r="A159" s="12">
        <v>156</v>
      </c>
      <c r="B159" s="12" t="s">
        <v>127</v>
      </c>
      <c r="C159" s="13" t="str">
        <f>"2020022729"</f>
        <v>2020022729</v>
      </c>
      <c r="D159" s="14">
        <v>155.6</v>
      </c>
      <c r="E159" s="15">
        <v>73.7</v>
      </c>
      <c r="F159" s="16">
        <f t="shared" si="5"/>
        <v>76.16</v>
      </c>
    </row>
    <row r="160" s="2" customFormat="1" spans="1:6">
      <c r="A160" s="12">
        <v>157</v>
      </c>
      <c r="B160" s="12" t="s">
        <v>128</v>
      </c>
      <c r="C160" s="13" t="str">
        <f>"2020043324"</f>
        <v>2020043324</v>
      </c>
      <c r="D160" s="14">
        <v>154.6</v>
      </c>
      <c r="E160" s="15">
        <v>77</v>
      </c>
      <c r="F160" s="16">
        <f t="shared" si="5"/>
        <v>77.18</v>
      </c>
    </row>
    <row r="161" s="2" customFormat="1" spans="1:6">
      <c r="A161" s="12">
        <v>158</v>
      </c>
      <c r="B161" s="12" t="s">
        <v>129</v>
      </c>
      <c r="C161" s="13" t="str">
        <f>"2020040127"</f>
        <v>2020040127</v>
      </c>
      <c r="D161" s="14">
        <v>165</v>
      </c>
      <c r="E161" s="15">
        <v>78</v>
      </c>
      <c r="F161" s="16">
        <f t="shared" si="5"/>
        <v>80.7</v>
      </c>
    </row>
    <row r="162" s="2" customFormat="1" spans="1:6">
      <c r="A162" s="12">
        <v>159</v>
      </c>
      <c r="B162" s="12" t="s">
        <v>129</v>
      </c>
      <c r="C162" s="13" t="str">
        <f>"2020040807"</f>
        <v>2020040807</v>
      </c>
      <c r="D162" s="14">
        <v>160.4</v>
      </c>
      <c r="E162" s="15">
        <v>76</v>
      </c>
      <c r="F162" s="16">
        <f t="shared" si="5"/>
        <v>78.52</v>
      </c>
    </row>
    <row r="163" s="2" customFormat="1" spans="1:6">
      <c r="A163" s="12">
        <v>160</v>
      </c>
      <c r="B163" s="12" t="s">
        <v>130</v>
      </c>
      <c r="C163" s="13" t="str">
        <f>"2020046620"</f>
        <v>2020046620</v>
      </c>
      <c r="D163" s="14">
        <v>161.1</v>
      </c>
      <c r="E163" s="15">
        <v>76.2</v>
      </c>
      <c r="F163" s="16">
        <f t="shared" si="5"/>
        <v>78.81</v>
      </c>
    </row>
    <row r="164" s="2" customFormat="1" spans="1:6">
      <c r="A164" s="12">
        <v>161</v>
      </c>
      <c r="B164" s="12" t="s">
        <v>130</v>
      </c>
      <c r="C164" s="13" t="str">
        <f>"2020030702"</f>
        <v>2020030702</v>
      </c>
      <c r="D164" s="14">
        <v>157.9</v>
      </c>
      <c r="E164" s="15">
        <v>72.2</v>
      </c>
      <c r="F164" s="16">
        <f t="shared" si="5"/>
        <v>76.25</v>
      </c>
    </row>
    <row r="165" s="2" customFormat="1" spans="1:6">
      <c r="A165" s="12">
        <v>162</v>
      </c>
      <c r="B165" s="12" t="s">
        <v>131</v>
      </c>
      <c r="C165" s="13" t="str">
        <f>"2020024212"</f>
        <v>2020024212</v>
      </c>
      <c r="D165" s="14">
        <v>158.7</v>
      </c>
      <c r="E165" s="15">
        <v>76.4</v>
      </c>
      <c r="F165" s="16">
        <f t="shared" si="5"/>
        <v>78.17</v>
      </c>
    </row>
    <row r="166" s="2" customFormat="1" spans="1:6">
      <c r="A166" s="12">
        <v>163</v>
      </c>
      <c r="B166" s="12" t="s">
        <v>132</v>
      </c>
      <c r="C166" s="13" t="str">
        <f>"2020010230"</f>
        <v>2020010230</v>
      </c>
      <c r="D166" s="14">
        <v>149.7</v>
      </c>
      <c r="E166" s="15">
        <v>75.6</v>
      </c>
      <c r="F166" s="16">
        <f t="shared" si="5"/>
        <v>75.15</v>
      </c>
    </row>
    <row r="167" s="2" customFormat="1" spans="1:6">
      <c r="A167" s="12">
        <v>164</v>
      </c>
      <c r="B167" s="12" t="s">
        <v>133</v>
      </c>
      <c r="C167" s="13" t="str">
        <f>"2020022514"</f>
        <v>2020022514</v>
      </c>
      <c r="D167" s="14">
        <v>151.1</v>
      </c>
      <c r="E167" s="15">
        <v>77</v>
      </c>
      <c r="F167" s="16">
        <f t="shared" si="5"/>
        <v>76.13</v>
      </c>
    </row>
    <row r="168" s="2" customFormat="1" spans="1:6">
      <c r="A168" s="12">
        <v>165</v>
      </c>
      <c r="B168" s="12" t="s">
        <v>134</v>
      </c>
      <c r="C168" s="13" t="str">
        <f>"2020011110"</f>
        <v>2020011110</v>
      </c>
      <c r="D168" s="14">
        <v>149.1</v>
      </c>
      <c r="E168" s="15">
        <v>79</v>
      </c>
      <c r="F168" s="16">
        <f t="shared" si="5"/>
        <v>76.33</v>
      </c>
    </row>
    <row r="169" s="2" customFormat="1" spans="1:6">
      <c r="A169" s="12">
        <v>166</v>
      </c>
      <c r="B169" s="12" t="s">
        <v>135</v>
      </c>
      <c r="C169" s="13" t="str">
        <f>"2020044113"</f>
        <v>2020044113</v>
      </c>
      <c r="D169" s="14">
        <v>145.2</v>
      </c>
      <c r="E169" s="15">
        <v>74.6</v>
      </c>
      <c r="F169" s="16">
        <f t="shared" si="5"/>
        <v>73.4</v>
      </c>
    </row>
    <row r="170" s="2" customFormat="1" spans="1:6">
      <c r="A170" s="12">
        <v>167</v>
      </c>
      <c r="B170" s="12" t="s">
        <v>136</v>
      </c>
      <c r="C170" s="13" t="str">
        <f>"2020020829"</f>
        <v>2020020829</v>
      </c>
      <c r="D170" s="14">
        <v>161.5</v>
      </c>
      <c r="E170" s="15">
        <v>78.8</v>
      </c>
      <c r="F170" s="16">
        <f t="shared" si="5"/>
        <v>79.97</v>
      </c>
    </row>
    <row r="171" s="2" customFormat="1" spans="1:6">
      <c r="A171" s="12">
        <v>168</v>
      </c>
      <c r="B171" s="12" t="s">
        <v>137</v>
      </c>
      <c r="C171" s="13" t="str">
        <f>"2020034022"</f>
        <v>2020034022</v>
      </c>
      <c r="D171" s="14">
        <v>151.5</v>
      </c>
      <c r="E171" s="15">
        <v>77</v>
      </c>
      <c r="F171" s="16">
        <f t="shared" si="5"/>
        <v>76.25</v>
      </c>
    </row>
    <row r="172" s="2" customFormat="1" spans="1:6">
      <c r="A172" s="12">
        <v>169</v>
      </c>
      <c r="B172" s="12" t="s">
        <v>137</v>
      </c>
      <c r="C172" s="13" t="str">
        <f>"2020023419"</f>
        <v>2020023419</v>
      </c>
      <c r="D172" s="14">
        <v>148.8</v>
      </c>
      <c r="E172" s="15">
        <v>77.4</v>
      </c>
      <c r="F172" s="16">
        <f t="shared" si="5"/>
        <v>75.6</v>
      </c>
    </row>
    <row r="173" s="2" customFormat="1" spans="1:6">
      <c r="A173" s="12">
        <v>170</v>
      </c>
      <c r="B173" s="12" t="s">
        <v>138</v>
      </c>
      <c r="C173" s="13" t="str">
        <f>"2020046519"</f>
        <v>2020046519</v>
      </c>
      <c r="D173" s="14">
        <v>157</v>
      </c>
      <c r="E173" s="15">
        <v>76.2</v>
      </c>
      <c r="F173" s="16">
        <f t="shared" si="5"/>
        <v>77.58</v>
      </c>
    </row>
    <row r="174" s="2" customFormat="1" spans="1:6">
      <c r="A174" s="12">
        <v>171</v>
      </c>
      <c r="B174" s="12" t="s">
        <v>139</v>
      </c>
      <c r="C174" s="13" t="str">
        <f>"2020040922"</f>
        <v>2020040922</v>
      </c>
      <c r="D174" s="14">
        <v>146.6</v>
      </c>
      <c r="E174" s="15">
        <v>78.4</v>
      </c>
      <c r="F174" s="16">
        <f t="shared" si="5"/>
        <v>75.34</v>
      </c>
    </row>
    <row r="175" s="2" customFormat="1" spans="1:6">
      <c r="A175" s="12">
        <v>172</v>
      </c>
      <c r="B175" s="12" t="s">
        <v>140</v>
      </c>
      <c r="C175" s="13" t="str">
        <f>"2020013026"</f>
        <v>2020013026</v>
      </c>
      <c r="D175" s="14">
        <v>156.1</v>
      </c>
      <c r="E175" s="17">
        <v>75.6</v>
      </c>
      <c r="F175" s="16">
        <f t="shared" si="5"/>
        <v>77.07</v>
      </c>
    </row>
    <row r="176" s="2" customFormat="1" spans="1:6">
      <c r="A176" s="12">
        <v>173</v>
      </c>
      <c r="B176" s="12" t="s">
        <v>140</v>
      </c>
      <c r="C176" s="13" t="str">
        <f>"2020044908"</f>
        <v>2020044908</v>
      </c>
      <c r="D176" s="14">
        <v>155.2</v>
      </c>
      <c r="E176" s="15">
        <v>68.4</v>
      </c>
      <c r="F176" s="16">
        <f t="shared" si="5"/>
        <v>73.92</v>
      </c>
    </row>
    <row r="177" s="2" customFormat="1" spans="1:6">
      <c r="A177" s="12">
        <v>174</v>
      </c>
      <c r="B177" s="12" t="s">
        <v>140</v>
      </c>
      <c r="C177" s="13" t="str">
        <f>"2020047102"</f>
        <v>2020047102</v>
      </c>
      <c r="D177" s="14">
        <v>152.7</v>
      </c>
      <c r="E177" s="15">
        <v>70</v>
      </c>
      <c r="F177" s="16">
        <f t="shared" si="5"/>
        <v>73.81</v>
      </c>
    </row>
    <row r="178" s="2" customFormat="1" spans="1:6">
      <c r="A178" s="12">
        <v>175</v>
      </c>
      <c r="B178" s="12" t="s">
        <v>140</v>
      </c>
      <c r="C178" s="13" t="str">
        <f>"2020020503"</f>
        <v>2020020503</v>
      </c>
      <c r="D178" s="14">
        <v>143.8</v>
      </c>
      <c r="E178" s="15">
        <v>76.6</v>
      </c>
      <c r="F178" s="16">
        <f t="shared" si="5"/>
        <v>73.78</v>
      </c>
    </row>
    <row r="179" s="2" customFormat="1" spans="1:6">
      <c r="A179" s="12">
        <v>176</v>
      </c>
      <c r="B179" s="12" t="s">
        <v>141</v>
      </c>
      <c r="C179" s="13" t="str">
        <f>"2020023201"</f>
        <v>2020023201</v>
      </c>
      <c r="D179" s="14">
        <v>161.4</v>
      </c>
      <c r="E179" s="15">
        <v>77.1</v>
      </c>
      <c r="F179" s="16">
        <f t="shared" si="5"/>
        <v>79.26</v>
      </c>
    </row>
    <row r="180" s="2" customFormat="1" spans="1:6">
      <c r="A180" s="12">
        <v>177</v>
      </c>
      <c r="B180" s="12" t="s">
        <v>141</v>
      </c>
      <c r="C180" s="13" t="str">
        <f>"2020020320"</f>
        <v>2020020320</v>
      </c>
      <c r="D180" s="14">
        <v>165</v>
      </c>
      <c r="E180" s="15">
        <v>72.3</v>
      </c>
      <c r="F180" s="16">
        <f t="shared" si="5"/>
        <v>78.42</v>
      </c>
    </row>
    <row r="181" s="2" customFormat="1" spans="1:6">
      <c r="A181" s="12">
        <v>178</v>
      </c>
      <c r="B181" s="12" t="s">
        <v>142</v>
      </c>
      <c r="C181" s="13" t="str">
        <f>"2020044309"</f>
        <v>2020044309</v>
      </c>
      <c r="D181" s="14">
        <v>146</v>
      </c>
      <c r="E181" s="15">
        <v>74.4</v>
      </c>
      <c r="F181" s="16">
        <f t="shared" si="5"/>
        <v>73.56</v>
      </c>
    </row>
    <row r="182" s="2" customFormat="1" spans="1:6">
      <c r="A182" s="12">
        <v>179</v>
      </c>
      <c r="B182" s="12" t="s">
        <v>143</v>
      </c>
      <c r="C182" s="13" t="str">
        <f>"2020012616"</f>
        <v>2020012616</v>
      </c>
      <c r="D182" s="14">
        <v>134.7</v>
      </c>
      <c r="E182" s="15">
        <v>74.6</v>
      </c>
      <c r="F182" s="16">
        <f t="shared" si="5"/>
        <v>70.25</v>
      </c>
    </row>
    <row r="183" s="2" customFormat="1" spans="1:6">
      <c r="A183" s="12">
        <v>180</v>
      </c>
      <c r="B183" s="12" t="s">
        <v>144</v>
      </c>
      <c r="C183" s="13" t="str">
        <f>"2020040509"</f>
        <v>2020040509</v>
      </c>
      <c r="D183" s="14">
        <v>152.2</v>
      </c>
      <c r="E183" s="15">
        <v>70.4</v>
      </c>
      <c r="F183" s="16">
        <f t="shared" si="5"/>
        <v>73.82</v>
      </c>
    </row>
    <row r="184" s="2" customFormat="1" spans="1:6">
      <c r="A184" s="12">
        <v>181</v>
      </c>
      <c r="B184" s="12" t="s">
        <v>145</v>
      </c>
      <c r="C184" s="13" t="str">
        <f>"2020021313"</f>
        <v>2020021313</v>
      </c>
      <c r="D184" s="14">
        <v>151.5</v>
      </c>
      <c r="E184" s="15">
        <v>71.8</v>
      </c>
      <c r="F184" s="16">
        <f t="shared" si="5"/>
        <v>74.17</v>
      </c>
    </row>
    <row r="185" s="2" customFormat="1" spans="1:6">
      <c r="A185" s="12">
        <v>182</v>
      </c>
      <c r="B185" s="12" t="s">
        <v>145</v>
      </c>
      <c r="C185" s="13" t="str">
        <f>"2020024813"</f>
        <v>2020024813</v>
      </c>
      <c r="D185" s="14">
        <v>144.3</v>
      </c>
      <c r="E185" s="17">
        <v>75.8</v>
      </c>
      <c r="F185" s="16">
        <f t="shared" si="5"/>
        <v>73.61</v>
      </c>
    </row>
    <row r="186" s="2" customFormat="1" spans="1:6">
      <c r="A186" s="12">
        <v>183</v>
      </c>
      <c r="B186" s="12" t="s">
        <v>146</v>
      </c>
      <c r="C186" s="13" t="str">
        <f>"2020020820"</f>
        <v>2020020820</v>
      </c>
      <c r="D186" s="14">
        <v>144.7</v>
      </c>
      <c r="E186" s="15">
        <v>75.1</v>
      </c>
      <c r="F186" s="16">
        <f t="shared" si="5"/>
        <v>73.45</v>
      </c>
    </row>
    <row r="187" s="2" customFormat="1" spans="1:6">
      <c r="A187" s="12">
        <v>184</v>
      </c>
      <c r="B187" s="12" t="s">
        <v>147</v>
      </c>
      <c r="C187" s="13" t="str">
        <f>"2020044914"</f>
        <v>2020044914</v>
      </c>
      <c r="D187" s="14">
        <v>143.9</v>
      </c>
      <c r="E187" s="15">
        <v>81.3</v>
      </c>
      <c r="F187" s="16">
        <f t="shared" si="5"/>
        <v>75.69</v>
      </c>
    </row>
    <row r="188" s="2" customFormat="1" spans="1:6">
      <c r="A188" s="12">
        <v>185</v>
      </c>
      <c r="B188" s="12" t="s">
        <v>148</v>
      </c>
      <c r="C188" s="13" t="str">
        <f>"2020041801"</f>
        <v>2020041801</v>
      </c>
      <c r="D188" s="14">
        <v>143.7</v>
      </c>
      <c r="E188" s="15">
        <v>74.3</v>
      </c>
      <c r="F188" s="16">
        <f t="shared" si="5"/>
        <v>72.83</v>
      </c>
    </row>
    <row r="189" s="2" customFormat="1" spans="1:6">
      <c r="A189" s="12">
        <v>186</v>
      </c>
      <c r="B189" s="12" t="s">
        <v>149</v>
      </c>
      <c r="C189" s="13" t="str">
        <f>"2020041514"</f>
        <v>2020041514</v>
      </c>
      <c r="D189" s="14">
        <v>157.8</v>
      </c>
      <c r="E189" s="15">
        <v>77.8</v>
      </c>
      <c r="F189" s="16">
        <f t="shared" si="5"/>
        <v>78.46</v>
      </c>
    </row>
    <row r="190" s="2" customFormat="1" spans="1:6">
      <c r="A190" s="12">
        <v>187</v>
      </c>
      <c r="B190" s="12" t="s">
        <v>150</v>
      </c>
      <c r="C190" s="13" t="str">
        <f>"2020042804"</f>
        <v>2020042804</v>
      </c>
      <c r="D190" s="14">
        <v>145.9</v>
      </c>
      <c r="E190" s="15">
        <v>74.4</v>
      </c>
      <c r="F190" s="16">
        <f t="shared" si="5"/>
        <v>73.53</v>
      </c>
    </row>
    <row r="191" s="2" customFormat="1" spans="1:6">
      <c r="A191" s="12">
        <v>188</v>
      </c>
      <c r="B191" s="12" t="s">
        <v>151</v>
      </c>
      <c r="C191" s="13" t="str">
        <f>"2020023730"</f>
        <v>2020023730</v>
      </c>
      <c r="D191" s="14">
        <v>147</v>
      </c>
      <c r="E191" s="15">
        <v>76.8</v>
      </c>
      <c r="F191" s="16">
        <f t="shared" si="5"/>
        <v>74.82</v>
      </c>
    </row>
    <row r="192" s="2" customFormat="1" spans="1:6">
      <c r="A192" s="12">
        <v>189</v>
      </c>
      <c r="B192" s="12" t="s">
        <v>152</v>
      </c>
      <c r="C192" s="13" t="str">
        <f>"2020020505"</f>
        <v>2020020505</v>
      </c>
      <c r="D192" s="14">
        <v>152.9</v>
      </c>
      <c r="E192" s="15">
        <v>76</v>
      </c>
      <c r="F192" s="16">
        <f t="shared" si="5"/>
        <v>76.27</v>
      </c>
    </row>
    <row r="193" s="2" customFormat="1" spans="1:6">
      <c r="A193" s="12">
        <v>190</v>
      </c>
      <c r="B193" s="12" t="s">
        <v>153</v>
      </c>
      <c r="C193" s="13" t="str">
        <f>"2020024325"</f>
        <v>2020024325</v>
      </c>
      <c r="D193" s="14">
        <v>151.9</v>
      </c>
      <c r="E193" s="15">
        <v>75.2</v>
      </c>
      <c r="F193" s="16">
        <f t="shared" si="5"/>
        <v>75.65</v>
      </c>
    </row>
    <row r="194" s="2" customFormat="1" spans="1:6">
      <c r="A194" s="12">
        <v>191</v>
      </c>
      <c r="B194" s="12" t="s">
        <v>153</v>
      </c>
      <c r="C194" s="13" t="str">
        <f>"2020024503"</f>
        <v>2020024503</v>
      </c>
      <c r="D194" s="14">
        <v>149.8</v>
      </c>
      <c r="E194" s="15">
        <v>74.2</v>
      </c>
      <c r="F194" s="16">
        <f t="shared" si="5"/>
        <v>74.62</v>
      </c>
    </row>
    <row r="195" s="2" customFormat="1" spans="1:6">
      <c r="A195" s="12">
        <v>192</v>
      </c>
      <c r="B195" s="12" t="s">
        <v>154</v>
      </c>
      <c r="C195" s="13" t="str">
        <f>"2020022221"</f>
        <v>2020022221</v>
      </c>
      <c r="D195" s="14">
        <v>158.4</v>
      </c>
      <c r="E195" s="15">
        <v>75.9</v>
      </c>
      <c r="F195" s="16">
        <f t="shared" si="5"/>
        <v>77.88</v>
      </c>
    </row>
    <row r="196" s="2" customFormat="1" spans="1:6">
      <c r="A196" s="12">
        <v>193</v>
      </c>
      <c r="B196" s="12" t="s">
        <v>155</v>
      </c>
      <c r="C196" s="13" t="str">
        <f>"2020042819"</f>
        <v>2020042819</v>
      </c>
      <c r="D196" s="14">
        <v>120.1</v>
      </c>
      <c r="E196" s="15">
        <v>77.6</v>
      </c>
      <c r="F196" s="16">
        <f t="shared" si="5"/>
        <v>67.07</v>
      </c>
    </row>
    <row r="197" s="2" customFormat="1" spans="1:6">
      <c r="A197" s="12">
        <v>194</v>
      </c>
      <c r="B197" s="12" t="s">
        <v>156</v>
      </c>
      <c r="C197" s="13" t="str">
        <f>"2020030217"</f>
        <v>2020030217</v>
      </c>
      <c r="D197" s="14">
        <v>143.8</v>
      </c>
      <c r="E197" s="15">
        <v>75.6</v>
      </c>
      <c r="F197" s="16">
        <f>D197*0.5*0.6+E197*0.4</f>
        <v>73.38</v>
      </c>
    </row>
    <row r="198" s="2" customFormat="1" spans="1:6">
      <c r="A198" s="12">
        <v>195</v>
      </c>
      <c r="B198" s="12" t="s">
        <v>157</v>
      </c>
      <c r="C198" s="13" t="str">
        <f>"2020042504"</f>
        <v>2020042504</v>
      </c>
      <c r="D198" s="14">
        <v>152.3</v>
      </c>
      <c r="E198" s="15">
        <v>73.3</v>
      </c>
      <c r="F198" s="16">
        <f>D198*0.5*0.6+E198*0.4</f>
        <v>75.01</v>
      </c>
    </row>
    <row r="199" s="2" customFormat="1" spans="1:6">
      <c r="A199" s="12">
        <v>196</v>
      </c>
      <c r="B199" s="12" t="s">
        <v>158</v>
      </c>
      <c r="C199" s="13" t="str">
        <f>"2020043606"</f>
        <v>2020043606</v>
      </c>
      <c r="D199" s="14">
        <v>159.6</v>
      </c>
      <c r="E199" s="15">
        <v>72.9</v>
      </c>
      <c r="F199" s="16">
        <f>D199*0.5*0.6+E199*0.4</f>
        <v>77.04</v>
      </c>
    </row>
    <row r="200" s="2" customFormat="1" spans="1:6">
      <c r="A200" s="12">
        <v>197</v>
      </c>
      <c r="B200" s="12" t="s">
        <v>159</v>
      </c>
      <c r="C200" s="13" t="str">
        <f>"2020030911"</f>
        <v>2020030911</v>
      </c>
      <c r="D200" s="14">
        <v>144.5</v>
      </c>
      <c r="E200" s="15">
        <v>72.9</v>
      </c>
      <c r="F200" s="16">
        <f>D200*0.5*0.6+E200*0.4</f>
        <v>72.51</v>
      </c>
    </row>
    <row r="201" s="2" customFormat="1" spans="1:6">
      <c r="A201" s="12">
        <v>198</v>
      </c>
      <c r="B201" s="12" t="s">
        <v>160</v>
      </c>
      <c r="C201" s="13" t="str">
        <f>"2020011805"</f>
        <v>2020011805</v>
      </c>
      <c r="D201" s="14">
        <v>154.4</v>
      </c>
      <c r="E201" s="15">
        <v>73</v>
      </c>
      <c r="F201" s="16">
        <f>D201*0.5*0.6+E201*0.4</f>
        <v>75.52</v>
      </c>
    </row>
    <row r="202" s="2" customFormat="1" spans="1:6">
      <c r="A202" s="12">
        <v>199</v>
      </c>
      <c r="B202" s="12" t="s">
        <v>161</v>
      </c>
      <c r="C202" s="13" t="str">
        <f>"2020042719"</f>
        <v>2020042719</v>
      </c>
      <c r="D202" s="14">
        <v>143.3</v>
      </c>
      <c r="E202" s="15">
        <v>75.4</v>
      </c>
      <c r="F202" s="16">
        <f>D202*0.5*0.6+E202*0.4</f>
        <v>73.15</v>
      </c>
    </row>
    <row r="203" s="2" customFormat="1" spans="1:6">
      <c r="A203" s="12">
        <v>200</v>
      </c>
      <c r="B203" s="12" t="s">
        <v>162</v>
      </c>
      <c r="C203" s="13" t="str">
        <f>"2020041917"</f>
        <v>2020041917</v>
      </c>
      <c r="D203" s="14">
        <v>154.7</v>
      </c>
      <c r="E203" s="15">
        <v>73.8</v>
      </c>
      <c r="F203" s="16">
        <f>D203*0.5*0.6+E203*0.4</f>
        <v>75.93</v>
      </c>
    </row>
    <row r="204" s="2" customFormat="1" spans="1:6">
      <c r="A204" s="12">
        <v>201</v>
      </c>
      <c r="B204" s="12" t="s">
        <v>162</v>
      </c>
      <c r="C204" s="13" t="str">
        <f>"2020012829"</f>
        <v>2020012829</v>
      </c>
      <c r="D204" s="14">
        <v>142.9</v>
      </c>
      <c r="E204" s="15">
        <v>76.6</v>
      </c>
      <c r="F204" s="16">
        <f>D204*0.5*0.6+E204*0.4</f>
        <v>73.51</v>
      </c>
    </row>
    <row r="205" s="2" customFormat="1" spans="1:6">
      <c r="A205" s="12">
        <v>202</v>
      </c>
      <c r="B205" s="12" t="s">
        <v>163</v>
      </c>
      <c r="C205" s="13" t="str">
        <f>"2020031802"</f>
        <v>2020031802</v>
      </c>
      <c r="D205" s="14">
        <v>138.4</v>
      </c>
      <c r="E205" s="15">
        <v>74.2</v>
      </c>
      <c r="F205" s="16">
        <f>D205*0.5*0.6+E205*0.4</f>
        <v>71.2</v>
      </c>
    </row>
    <row r="206" s="2" customFormat="1" spans="1:6">
      <c r="A206" s="12">
        <v>203</v>
      </c>
      <c r="B206" s="12" t="s">
        <v>164</v>
      </c>
      <c r="C206" s="13" t="str">
        <f>"2020021016"</f>
        <v>2020021016</v>
      </c>
      <c r="D206" s="14">
        <v>156.6</v>
      </c>
      <c r="E206" s="15">
        <v>72.8</v>
      </c>
      <c r="F206" s="16">
        <f>D206*0.5*0.6+E206*0.4</f>
        <v>76.1</v>
      </c>
    </row>
    <row r="207" s="2" customFormat="1" spans="1:6">
      <c r="A207" s="12">
        <v>204</v>
      </c>
      <c r="B207" s="12" t="s">
        <v>165</v>
      </c>
      <c r="C207" s="13" t="str">
        <f>"2020031719"</f>
        <v>2020031719</v>
      </c>
      <c r="D207" s="14">
        <v>127.2</v>
      </c>
      <c r="E207" s="15">
        <v>70</v>
      </c>
      <c r="F207" s="16">
        <f>D207*0.5*0.6+E207*0.4</f>
        <v>66.16</v>
      </c>
    </row>
    <row r="208" s="2" customFormat="1" spans="1:6">
      <c r="A208" s="12">
        <v>205</v>
      </c>
      <c r="B208" s="12" t="s">
        <v>166</v>
      </c>
      <c r="C208" s="13" t="str">
        <f>"2020041211"</f>
        <v>2020041211</v>
      </c>
      <c r="D208" s="14">
        <v>164</v>
      </c>
      <c r="E208" s="15">
        <v>75.8</v>
      </c>
      <c r="F208" s="16">
        <f>D208*0.5*0.6+E208*0.4</f>
        <v>79.52</v>
      </c>
    </row>
    <row r="209" s="2" customFormat="1" spans="1:6">
      <c r="A209" s="12">
        <v>206</v>
      </c>
      <c r="B209" s="12" t="s">
        <v>167</v>
      </c>
      <c r="C209" s="13" t="str">
        <f>"2020044025"</f>
        <v>2020044025</v>
      </c>
      <c r="D209" s="14">
        <v>160.1</v>
      </c>
      <c r="E209" s="15">
        <v>76.2</v>
      </c>
      <c r="F209" s="16">
        <f>D209*0.5*0.6+E209*0.4</f>
        <v>78.51</v>
      </c>
    </row>
    <row r="210" s="2" customFormat="1" spans="1:6">
      <c r="A210" s="12">
        <v>207</v>
      </c>
      <c r="B210" s="12" t="s">
        <v>168</v>
      </c>
      <c r="C210" s="13" t="str">
        <f>"2020010924"</f>
        <v>2020010924</v>
      </c>
      <c r="D210" s="14">
        <v>143.2</v>
      </c>
      <c r="E210" s="15">
        <v>75.6</v>
      </c>
      <c r="F210" s="16">
        <f>D210*0.5*0.6+E210*0.4</f>
        <v>73.2</v>
      </c>
    </row>
    <row r="211" s="2" customFormat="1" spans="1:6">
      <c r="A211" s="12">
        <v>208</v>
      </c>
      <c r="B211" s="12" t="s">
        <v>168</v>
      </c>
      <c r="C211" s="13" t="str">
        <f>"2020043602"</f>
        <v>2020043602</v>
      </c>
      <c r="D211" s="14">
        <v>145.4</v>
      </c>
      <c r="E211" s="15">
        <v>71.4</v>
      </c>
      <c r="F211" s="16">
        <f>D211*0.5*0.6+E211*0.4</f>
        <v>72.18</v>
      </c>
    </row>
    <row r="212" s="2" customFormat="1" spans="1:6">
      <c r="A212" s="12">
        <v>209</v>
      </c>
      <c r="B212" s="12" t="s">
        <v>168</v>
      </c>
      <c r="C212" s="13" t="str">
        <f>"2020012412"</f>
        <v>2020012412</v>
      </c>
      <c r="D212" s="14">
        <v>135</v>
      </c>
      <c r="E212" s="15">
        <v>76.8</v>
      </c>
      <c r="F212" s="16">
        <f>D212*0.5*0.6+E212*0.4</f>
        <v>71.22</v>
      </c>
    </row>
    <row r="213" s="2" customFormat="1" spans="1:6">
      <c r="A213" s="12">
        <v>210</v>
      </c>
      <c r="B213" s="12" t="s">
        <v>169</v>
      </c>
      <c r="C213" s="13" t="str">
        <f>"2020023311"</f>
        <v>2020023311</v>
      </c>
      <c r="D213" s="14">
        <v>157</v>
      </c>
      <c r="E213" s="15">
        <v>77.2</v>
      </c>
      <c r="F213" s="16">
        <f>D213*0.5*0.6+E213*0.4</f>
        <v>77.98</v>
      </c>
    </row>
    <row r="214" s="2" customFormat="1" spans="1:6">
      <c r="A214" s="12">
        <v>211</v>
      </c>
      <c r="B214" s="12" t="s">
        <v>170</v>
      </c>
      <c r="C214" s="13" t="str">
        <f>"2020042829"</f>
        <v>2020042829</v>
      </c>
      <c r="D214" s="14">
        <v>152.1</v>
      </c>
      <c r="E214" s="15">
        <v>77.4</v>
      </c>
      <c r="F214" s="16">
        <f>D214*0.5*0.6+E214*0.4</f>
        <v>76.59</v>
      </c>
    </row>
    <row r="215" s="2" customFormat="1" spans="1:6">
      <c r="A215" s="12">
        <v>212</v>
      </c>
      <c r="B215" s="12" t="s">
        <v>171</v>
      </c>
      <c r="C215" s="13" t="str">
        <f>"2020040207"</f>
        <v>2020040207</v>
      </c>
      <c r="D215" s="14">
        <v>148.9</v>
      </c>
      <c r="E215" s="15">
        <v>73.6</v>
      </c>
      <c r="F215" s="16">
        <f>D215*0.5*0.6+E215*0.4</f>
        <v>74.11</v>
      </c>
    </row>
    <row r="216" s="2" customFormat="1" spans="1:6">
      <c r="A216" s="12">
        <v>213</v>
      </c>
      <c r="B216" s="12" t="s">
        <v>172</v>
      </c>
      <c r="C216" s="13" t="str">
        <f>"2020013820"</f>
        <v>2020013820</v>
      </c>
      <c r="D216" s="14">
        <v>138.6</v>
      </c>
      <c r="E216" s="15">
        <v>75.6</v>
      </c>
      <c r="F216" s="16">
        <f t="shared" ref="F216:F251" si="6">D216*0.5*0.6+E216*0.4</f>
        <v>71.82</v>
      </c>
    </row>
    <row r="217" s="2" customFormat="1" spans="1:6">
      <c r="A217" s="12">
        <v>214</v>
      </c>
      <c r="B217" s="12" t="s">
        <v>172</v>
      </c>
      <c r="C217" s="13" t="str">
        <f>"2020010110"</f>
        <v>2020010110</v>
      </c>
      <c r="D217" s="14">
        <v>133.2</v>
      </c>
      <c r="E217" s="17">
        <v>72.2</v>
      </c>
      <c r="F217" s="16">
        <f t="shared" si="6"/>
        <v>68.84</v>
      </c>
    </row>
    <row r="218" s="2" customFormat="1" spans="1:6">
      <c r="A218" s="12">
        <v>215</v>
      </c>
      <c r="B218" s="12" t="s">
        <v>172</v>
      </c>
      <c r="C218" s="13" t="str">
        <f>"2020031320"</f>
        <v>2020031320</v>
      </c>
      <c r="D218" s="14">
        <v>129.4</v>
      </c>
      <c r="E218" s="15">
        <v>74.3</v>
      </c>
      <c r="F218" s="16">
        <f t="shared" si="6"/>
        <v>68.54</v>
      </c>
    </row>
    <row r="219" s="2" customFormat="1" spans="1:6">
      <c r="A219" s="12">
        <v>216</v>
      </c>
      <c r="B219" s="12" t="s">
        <v>172</v>
      </c>
      <c r="C219" s="13" t="str">
        <f>"2020046605"</f>
        <v>2020046605</v>
      </c>
      <c r="D219" s="14">
        <v>127.3</v>
      </c>
      <c r="E219" s="15">
        <v>74.3</v>
      </c>
      <c r="F219" s="16">
        <f t="shared" si="6"/>
        <v>67.91</v>
      </c>
    </row>
    <row r="220" s="2" customFormat="1" spans="1:6">
      <c r="A220" s="12">
        <v>217</v>
      </c>
      <c r="B220" s="12" t="s">
        <v>173</v>
      </c>
      <c r="C220" s="13" t="str">
        <f>"2020021123"</f>
        <v>2020021123</v>
      </c>
      <c r="D220" s="14">
        <v>143.5</v>
      </c>
      <c r="E220" s="15">
        <v>72.8</v>
      </c>
      <c r="F220" s="16">
        <f t="shared" si="6"/>
        <v>72.17</v>
      </c>
    </row>
    <row r="221" s="2" customFormat="1" spans="1:6">
      <c r="A221" s="12">
        <v>218</v>
      </c>
      <c r="B221" s="12" t="s">
        <v>174</v>
      </c>
      <c r="C221" s="13" t="str">
        <f>"2020012626"</f>
        <v>2020012626</v>
      </c>
      <c r="D221" s="14">
        <v>154.5</v>
      </c>
      <c r="E221" s="15">
        <v>74.9</v>
      </c>
      <c r="F221" s="16">
        <f t="shared" si="6"/>
        <v>76.31</v>
      </c>
    </row>
    <row r="222" s="2" customFormat="1" spans="1:6">
      <c r="A222" s="12">
        <v>219</v>
      </c>
      <c r="B222" s="12" t="s">
        <v>175</v>
      </c>
      <c r="C222" s="13" t="str">
        <f>"2020022509"</f>
        <v>2020022509</v>
      </c>
      <c r="D222" s="14">
        <v>137.2</v>
      </c>
      <c r="E222" s="15">
        <v>73.6</v>
      </c>
      <c r="F222" s="16">
        <f t="shared" si="6"/>
        <v>70.6</v>
      </c>
    </row>
    <row r="223" s="2" customFormat="1" spans="1:6">
      <c r="A223" s="12">
        <v>220</v>
      </c>
      <c r="B223" s="12" t="s">
        <v>175</v>
      </c>
      <c r="C223" s="13" t="str">
        <f>"2020033717"</f>
        <v>2020033717</v>
      </c>
      <c r="D223" s="14">
        <v>134.4</v>
      </c>
      <c r="E223" s="15">
        <v>72.1</v>
      </c>
      <c r="F223" s="16">
        <f t="shared" si="6"/>
        <v>69.16</v>
      </c>
    </row>
    <row r="224" s="2" customFormat="1" spans="1:6">
      <c r="A224" s="12">
        <v>221</v>
      </c>
      <c r="B224" s="12" t="s">
        <v>176</v>
      </c>
      <c r="C224" s="13" t="str">
        <f>"2020022818"</f>
        <v>2020022818</v>
      </c>
      <c r="D224" s="14">
        <v>155.8</v>
      </c>
      <c r="E224" s="15">
        <v>75.2</v>
      </c>
      <c r="F224" s="16">
        <f t="shared" si="6"/>
        <v>76.82</v>
      </c>
    </row>
    <row r="225" s="2" customFormat="1" spans="1:6">
      <c r="A225" s="12">
        <v>222</v>
      </c>
      <c r="B225" s="12" t="s">
        <v>176</v>
      </c>
      <c r="C225" s="13" t="str">
        <f>"2020047423"</f>
        <v>2020047423</v>
      </c>
      <c r="D225" s="14">
        <v>149.3</v>
      </c>
      <c r="E225" s="15">
        <v>77.2</v>
      </c>
      <c r="F225" s="16">
        <f t="shared" si="6"/>
        <v>75.67</v>
      </c>
    </row>
    <row r="226" s="2" customFormat="1" spans="1:6">
      <c r="A226" s="12">
        <v>223</v>
      </c>
      <c r="B226" s="12" t="s">
        <v>177</v>
      </c>
      <c r="C226" s="13" t="str">
        <f>"2020045708"</f>
        <v>2020045708</v>
      </c>
      <c r="D226" s="14">
        <v>147.5</v>
      </c>
      <c r="E226" s="15">
        <v>77.8</v>
      </c>
      <c r="F226" s="16">
        <f t="shared" si="6"/>
        <v>75.37</v>
      </c>
    </row>
    <row r="227" s="2" customFormat="1" spans="1:6">
      <c r="A227" s="12">
        <v>224</v>
      </c>
      <c r="B227" s="12" t="s">
        <v>178</v>
      </c>
      <c r="C227" s="13" t="str">
        <f>"2020012112"</f>
        <v>2020012112</v>
      </c>
      <c r="D227" s="14">
        <v>148.7</v>
      </c>
      <c r="E227" s="15">
        <v>76.6</v>
      </c>
      <c r="F227" s="16">
        <f t="shared" si="6"/>
        <v>75.25</v>
      </c>
    </row>
    <row r="228" s="2" customFormat="1" spans="1:6">
      <c r="A228" s="12">
        <v>225</v>
      </c>
      <c r="B228" s="12" t="s">
        <v>179</v>
      </c>
      <c r="C228" s="13" t="str">
        <f>"2020033914"</f>
        <v>2020033914</v>
      </c>
      <c r="D228" s="14">
        <v>152.7</v>
      </c>
      <c r="E228" s="15">
        <v>78.6</v>
      </c>
      <c r="F228" s="16">
        <f t="shared" si="6"/>
        <v>77.25</v>
      </c>
    </row>
    <row r="229" s="2" customFormat="1" spans="1:6">
      <c r="A229" s="12">
        <v>226</v>
      </c>
      <c r="B229" s="12" t="s">
        <v>180</v>
      </c>
      <c r="C229" s="13" t="str">
        <f>"2020042203"</f>
        <v>2020042203</v>
      </c>
      <c r="D229" s="14">
        <v>144.1</v>
      </c>
      <c r="E229" s="15">
        <v>73.9</v>
      </c>
      <c r="F229" s="16">
        <f t="shared" si="6"/>
        <v>72.79</v>
      </c>
    </row>
    <row r="230" s="2" customFormat="1" spans="1:6">
      <c r="A230" s="12">
        <v>227</v>
      </c>
      <c r="B230" s="12" t="s">
        <v>180</v>
      </c>
      <c r="C230" s="13" t="str">
        <f>"2020046126"</f>
        <v>2020046126</v>
      </c>
      <c r="D230" s="14">
        <v>142.2</v>
      </c>
      <c r="E230" s="15">
        <v>73.8</v>
      </c>
      <c r="F230" s="16">
        <f t="shared" si="6"/>
        <v>72.18</v>
      </c>
    </row>
    <row r="231" s="2" customFormat="1" spans="1:6">
      <c r="A231" s="12">
        <v>228</v>
      </c>
      <c r="B231" s="12" t="s">
        <v>181</v>
      </c>
      <c r="C231" s="13" t="str">
        <f>"2020010119"</f>
        <v>2020010119</v>
      </c>
      <c r="D231" s="14">
        <v>145.1</v>
      </c>
      <c r="E231" s="15">
        <v>73.6</v>
      </c>
      <c r="F231" s="16">
        <f t="shared" si="6"/>
        <v>72.97</v>
      </c>
    </row>
    <row r="232" s="2" customFormat="1" spans="1:6">
      <c r="A232" s="12">
        <v>229</v>
      </c>
      <c r="B232" s="12" t="s">
        <v>182</v>
      </c>
      <c r="C232" s="13" t="str">
        <f>"2020045303"</f>
        <v>2020045303</v>
      </c>
      <c r="D232" s="14">
        <v>132.9</v>
      </c>
      <c r="E232" s="15">
        <v>75.6</v>
      </c>
      <c r="F232" s="16">
        <f t="shared" si="6"/>
        <v>70.11</v>
      </c>
    </row>
    <row r="233" s="2" customFormat="1" spans="1:6">
      <c r="A233" s="12">
        <v>230</v>
      </c>
      <c r="B233" s="12" t="s">
        <v>182</v>
      </c>
      <c r="C233" s="13" t="str">
        <f>"2020045814"</f>
        <v>2020045814</v>
      </c>
      <c r="D233" s="14">
        <v>127.3</v>
      </c>
      <c r="E233" s="15">
        <v>74.2</v>
      </c>
      <c r="F233" s="16">
        <f t="shared" si="6"/>
        <v>67.87</v>
      </c>
    </row>
    <row r="234" s="2" customFormat="1" spans="1:6">
      <c r="A234" s="12">
        <v>231</v>
      </c>
      <c r="B234" s="12" t="s">
        <v>183</v>
      </c>
      <c r="C234" s="13" t="str">
        <f>"2020033808"</f>
        <v>2020033808</v>
      </c>
      <c r="D234" s="14">
        <v>160.4</v>
      </c>
      <c r="E234" s="15">
        <v>73.6</v>
      </c>
      <c r="F234" s="16">
        <f t="shared" si="6"/>
        <v>77.56</v>
      </c>
    </row>
    <row r="235" s="2" customFormat="1" spans="1:6">
      <c r="A235" s="12">
        <v>232</v>
      </c>
      <c r="B235" s="12" t="s">
        <v>184</v>
      </c>
      <c r="C235" s="13" t="str">
        <f>"2020042215"</f>
        <v>2020042215</v>
      </c>
      <c r="D235" s="14">
        <v>151.1</v>
      </c>
      <c r="E235" s="15">
        <v>75.4</v>
      </c>
      <c r="F235" s="16">
        <f t="shared" si="6"/>
        <v>75.49</v>
      </c>
    </row>
    <row r="236" s="2" customFormat="1" spans="1:6">
      <c r="A236" s="12">
        <v>233</v>
      </c>
      <c r="B236" s="12" t="s">
        <v>185</v>
      </c>
      <c r="C236" s="13" t="str">
        <f>"2020024505"</f>
        <v>2020024505</v>
      </c>
      <c r="D236" s="14">
        <v>133.9</v>
      </c>
      <c r="E236" s="15">
        <v>78</v>
      </c>
      <c r="F236" s="16">
        <f t="shared" si="6"/>
        <v>71.37</v>
      </c>
    </row>
    <row r="237" s="2" customFormat="1" spans="1:6">
      <c r="A237" s="12">
        <v>234</v>
      </c>
      <c r="B237" s="12" t="s">
        <v>186</v>
      </c>
      <c r="C237" s="13" t="str">
        <f>"2020041624"</f>
        <v>2020041624</v>
      </c>
      <c r="D237" s="14">
        <v>151</v>
      </c>
      <c r="E237" s="15">
        <v>75.6</v>
      </c>
      <c r="F237" s="16">
        <f t="shared" si="6"/>
        <v>75.54</v>
      </c>
    </row>
    <row r="238" s="2" customFormat="1" spans="1:6">
      <c r="A238" s="12">
        <v>235</v>
      </c>
      <c r="B238" s="12" t="s">
        <v>187</v>
      </c>
      <c r="C238" s="13" t="str">
        <f>"2020040115"</f>
        <v>2020040115</v>
      </c>
      <c r="D238" s="14">
        <v>129.2</v>
      </c>
      <c r="E238" s="15">
        <v>79</v>
      </c>
      <c r="F238" s="16">
        <f t="shared" si="6"/>
        <v>70.36</v>
      </c>
    </row>
    <row r="239" s="2" customFormat="1" spans="1:6">
      <c r="A239" s="12">
        <v>236</v>
      </c>
      <c r="B239" s="12" t="s">
        <v>188</v>
      </c>
      <c r="C239" s="13" t="str">
        <f>"2020013104"</f>
        <v>2020013104</v>
      </c>
      <c r="D239" s="14">
        <v>152.9</v>
      </c>
      <c r="E239" s="15">
        <v>77.6</v>
      </c>
      <c r="F239" s="16">
        <f t="shared" si="6"/>
        <v>76.91</v>
      </c>
    </row>
    <row r="240" s="2" customFormat="1" spans="1:6">
      <c r="A240" s="12">
        <v>237</v>
      </c>
      <c r="B240" s="12" t="s">
        <v>189</v>
      </c>
      <c r="C240" s="13" t="str">
        <f>"2020022824"</f>
        <v>2020022824</v>
      </c>
      <c r="D240" s="14">
        <v>145.5</v>
      </c>
      <c r="E240" s="15">
        <v>77.2</v>
      </c>
      <c r="F240" s="16">
        <f t="shared" si="6"/>
        <v>74.53</v>
      </c>
    </row>
    <row r="241" s="2" customFormat="1" spans="1:6">
      <c r="A241" s="12">
        <v>238</v>
      </c>
      <c r="B241" s="12" t="s">
        <v>190</v>
      </c>
      <c r="C241" s="13" t="str">
        <f>"2020023004"</f>
        <v>2020023004</v>
      </c>
      <c r="D241" s="14">
        <v>146</v>
      </c>
      <c r="E241" s="15">
        <v>75.88</v>
      </c>
      <c r="F241" s="16">
        <f t="shared" si="6"/>
        <v>74.152</v>
      </c>
    </row>
    <row r="242" s="2" customFormat="1" spans="1:6">
      <c r="A242" s="12">
        <v>239</v>
      </c>
      <c r="B242" s="12" t="s">
        <v>191</v>
      </c>
      <c r="C242" s="13" t="str">
        <f>"2020046226"</f>
        <v>2020046226</v>
      </c>
      <c r="D242" s="14">
        <v>147.8</v>
      </c>
      <c r="E242" s="15">
        <v>78.1</v>
      </c>
      <c r="F242" s="16">
        <f t="shared" si="6"/>
        <v>75.58</v>
      </c>
    </row>
    <row r="243" s="2" customFormat="1" spans="1:6">
      <c r="A243" s="12">
        <v>240</v>
      </c>
      <c r="B243" s="12" t="s">
        <v>192</v>
      </c>
      <c r="C243" s="13" t="str">
        <f>"2020040611"</f>
        <v>2020040611</v>
      </c>
      <c r="D243" s="14">
        <v>149.5</v>
      </c>
      <c r="E243" s="15">
        <v>75.1</v>
      </c>
      <c r="F243" s="16">
        <f t="shared" si="6"/>
        <v>74.89</v>
      </c>
    </row>
    <row r="244" s="2" customFormat="1" spans="1:6">
      <c r="A244" s="12">
        <v>241</v>
      </c>
      <c r="B244" s="12" t="s">
        <v>193</v>
      </c>
      <c r="C244" s="13" t="str">
        <f>"2020012818"</f>
        <v>2020012818</v>
      </c>
      <c r="D244" s="14">
        <v>130</v>
      </c>
      <c r="E244" s="15">
        <v>75.5</v>
      </c>
      <c r="F244" s="16">
        <f t="shared" si="6"/>
        <v>69.2</v>
      </c>
    </row>
    <row r="245" s="2" customFormat="1" spans="1:6">
      <c r="A245" s="12">
        <v>242</v>
      </c>
      <c r="B245" s="12" t="s">
        <v>194</v>
      </c>
      <c r="C245" s="13" t="str">
        <f>"2020033227"</f>
        <v>2020033227</v>
      </c>
      <c r="D245" s="14">
        <v>137.8</v>
      </c>
      <c r="E245" s="15">
        <v>80</v>
      </c>
      <c r="F245" s="16">
        <f t="shared" si="6"/>
        <v>73.34</v>
      </c>
    </row>
    <row r="246" s="2" customFormat="1" spans="1:6">
      <c r="A246" s="12">
        <v>243</v>
      </c>
      <c r="B246" s="12" t="s">
        <v>195</v>
      </c>
      <c r="C246" s="13" t="str">
        <f>"2020042728"</f>
        <v>2020042728</v>
      </c>
      <c r="D246" s="14">
        <v>146.9</v>
      </c>
      <c r="E246" s="15">
        <v>75.7</v>
      </c>
      <c r="F246" s="16">
        <f t="shared" si="6"/>
        <v>74.35</v>
      </c>
    </row>
    <row r="247" s="2" customFormat="1" spans="1:6">
      <c r="A247" s="12">
        <v>244</v>
      </c>
      <c r="B247" s="12" t="s">
        <v>196</v>
      </c>
      <c r="C247" s="13" t="str">
        <f>"2020022304"</f>
        <v>2020022304</v>
      </c>
      <c r="D247" s="14">
        <v>148.2</v>
      </c>
      <c r="E247" s="15">
        <v>77</v>
      </c>
      <c r="F247" s="16">
        <f t="shared" si="6"/>
        <v>75.26</v>
      </c>
    </row>
    <row r="248" s="2" customFormat="1" spans="1:6">
      <c r="A248" s="12">
        <v>245</v>
      </c>
      <c r="B248" s="12" t="s">
        <v>197</v>
      </c>
      <c r="C248" s="13" t="str">
        <f>"2020021930"</f>
        <v>2020021930</v>
      </c>
      <c r="D248" s="14">
        <v>153.9</v>
      </c>
      <c r="E248" s="15">
        <v>76.84</v>
      </c>
      <c r="F248" s="16">
        <f t="shared" si="6"/>
        <v>76.906</v>
      </c>
    </row>
    <row r="249" s="2" customFormat="1" spans="1:6">
      <c r="A249" s="12">
        <v>246</v>
      </c>
      <c r="B249" s="12" t="s">
        <v>198</v>
      </c>
      <c r="C249" s="13" t="str">
        <f>"2020032114"</f>
        <v>2020032114</v>
      </c>
      <c r="D249" s="14">
        <v>153.8</v>
      </c>
      <c r="E249" s="15">
        <v>75.62</v>
      </c>
      <c r="F249" s="16">
        <f t="shared" si="6"/>
        <v>76.388</v>
      </c>
    </row>
    <row r="250" s="2" customFormat="1" spans="1:6">
      <c r="A250" s="12">
        <v>247</v>
      </c>
      <c r="B250" s="12" t="s">
        <v>199</v>
      </c>
      <c r="C250" s="13" t="str">
        <f>"2020030303"</f>
        <v>2020030303</v>
      </c>
      <c r="D250" s="14">
        <v>135.8</v>
      </c>
      <c r="E250" s="15">
        <v>70.4</v>
      </c>
      <c r="F250" s="16">
        <f t="shared" si="6"/>
        <v>68.9</v>
      </c>
    </row>
    <row r="251" s="2" customFormat="1" spans="1:6">
      <c r="A251" s="12">
        <v>248</v>
      </c>
      <c r="B251" s="12" t="s">
        <v>200</v>
      </c>
      <c r="C251" s="13" t="str">
        <f>"2020043520"</f>
        <v>2020043520</v>
      </c>
      <c r="D251" s="14">
        <v>158.2</v>
      </c>
      <c r="E251" s="15">
        <v>77.42</v>
      </c>
      <c r="F251" s="16">
        <f t="shared" si="6"/>
        <v>78.428</v>
      </c>
    </row>
    <row r="252" spans="1:6">
      <c r="A252" s="30"/>
      <c r="B252" s="30"/>
      <c r="C252" s="30"/>
      <c r="D252" s="30"/>
      <c r="E252" s="30"/>
      <c r="F252" s="30"/>
    </row>
    <row r="253" spans="1:6">
      <c r="A253" s="30"/>
      <c r="B253" s="30"/>
      <c r="C253" s="30"/>
      <c r="D253" s="30"/>
      <c r="E253" s="30"/>
      <c r="F253" s="30"/>
    </row>
    <row r="254" spans="1:6">
      <c r="A254" s="30"/>
      <c r="B254" s="30"/>
      <c r="C254" s="30"/>
      <c r="D254" s="30"/>
      <c r="E254" s="30"/>
      <c r="F254" s="30"/>
    </row>
    <row r="255" spans="1:6">
      <c r="A255" s="30"/>
      <c r="B255" s="30"/>
      <c r="C255" s="30"/>
      <c r="D255" s="30"/>
      <c r="E255" s="30"/>
      <c r="F255" s="30"/>
    </row>
    <row r="256" spans="1:6">
      <c r="A256" s="30"/>
      <c r="B256" s="30"/>
      <c r="C256" s="30"/>
      <c r="D256" s="30"/>
      <c r="E256" s="30"/>
      <c r="F256" s="30"/>
    </row>
    <row r="257" spans="1:6">
      <c r="A257" s="30"/>
      <c r="B257" s="30"/>
      <c r="C257" s="30"/>
      <c r="D257" s="30"/>
      <c r="E257" s="30"/>
      <c r="F257" s="30"/>
    </row>
    <row r="258" spans="1:6">
      <c r="A258" s="30"/>
      <c r="B258" s="30"/>
      <c r="C258" s="30"/>
      <c r="D258" s="30"/>
      <c r="E258" s="30"/>
      <c r="F258" s="30"/>
    </row>
    <row r="259" spans="1:6">
      <c r="A259" s="30"/>
      <c r="B259" s="30"/>
      <c r="C259" s="30"/>
      <c r="D259" s="30"/>
      <c r="E259" s="30"/>
      <c r="F259" s="30"/>
    </row>
    <row r="260" spans="1:6">
      <c r="A260" s="30"/>
      <c r="B260" s="30"/>
      <c r="C260" s="30"/>
      <c r="D260" s="30"/>
      <c r="E260" s="30"/>
      <c r="F260" s="30"/>
    </row>
    <row r="261" spans="1:6">
      <c r="A261" s="30"/>
      <c r="B261" s="30"/>
      <c r="C261" s="30"/>
      <c r="D261" s="30"/>
      <c r="E261" s="30"/>
      <c r="F261" s="30"/>
    </row>
    <row r="262" spans="1:6">
      <c r="A262" s="30"/>
      <c r="B262" s="30"/>
      <c r="C262" s="30"/>
      <c r="D262" s="30"/>
      <c r="E262" s="30"/>
      <c r="F262" s="30"/>
    </row>
    <row r="263" spans="1:6">
      <c r="A263" s="30"/>
      <c r="B263" s="30"/>
      <c r="C263" s="30"/>
      <c r="D263" s="30"/>
      <c r="E263" s="30"/>
      <c r="F263" s="30"/>
    </row>
    <row r="264" spans="1:6">
      <c r="A264" s="30"/>
      <c r="B264" s="30"/>
      <c r="C264" s="30"/>
      <c r="D264" s="30"/>
      <c r="E264" s="30"/>
      <c r="F264" s="30"/>
    </row>
    <row r="265" spans="1:6">
      <c r="A265" s="30"/>
      <c r="B265" s="30"/>
      <c r="C265" s="30"/>
      <c r="D265" s="30"/>
      <c r="E265" s="30"/>
      <c r="F265" s="30"/>
    </row>
    <row r="266" spans="1:6">
      <c r="A266" s="30"/>
      <c r="B266" s="30"/>
      <c r="C266" s="30"/>
      <c r="D266" s="30"/>
      <c r="E266" s="30"/>
      <c r="F266" s="30"/>
    </row>
    <row r="267" spans="1:6">
      <c r="A267" s="30"/>
      <c r="B267" s="30"/>
      <c r="C267" s="30"/>
      <c r="D267" s="30"/>
      <c r="E267" s="30"/>
      <c r="F267" s="30"/>
    </row>
    <row r="268" spans="1:6">
      <c r="A268" s="30"/>
      <c r="B268" s="30"/>
      <c r="C268" s="30"/>
      <c r="D268" s="30"/>
      <c r="E268" s="30"/>
      <c r="F268" s="30"/>
    </row>
    <row r="269" spans="1:6">
      <c r="A269" s="30"/>
      <c r="B269" s="30"/>
      <c r="C269" s="30"/>
      <c r="D269" s="30"/>
      <c r="E269" s="30"/>
      <c r="F269" s="30"/>
    </row>
    <row r="270" spans="1:6">
      <c r="A270" s="30"/>
      <c r="B270" s="30"/>
      <c r="C270" s="30"/>
      <c r="D270" s="30"/>
      <c r="E270" s="30"/>
      <c r="F270" s="30"/>
    </row>
    <row r="271" spans="1:6">
      <c r="A271" s="30"/>
      <c r="B271" s="30"/>
      <c r="C271" s="30"/>
      <c r="D271" s="30"/>
      <c r="E271" s="30"/>
      <c r="F271" s="30"/>
    </row>
    <row r="272" spans="1:6">
      <c r="A272" s="30"/>
      <c r="B272" s="30"/>
      <c r="C272" s="30"/>
      <c r="D272" s="30"/>
      <c r="E272" s="30"/>
      <c r="F272" s="30"/>
    </row>
    <row r="273" spans="1:6">
      <c r="A273" s="30"/>
      <c r="B273" s="30"/>
      <c r="C273" s="30"/>
      <c r="D273" s="30"/>
      <c r="E273" s="30"/>
      <c r="F273" s="30"/>
    </row>
    <row r="274" spans="1:6">
      <c r="A274" s="30"/>
      <c r="B274" s="30"/>
      <c r="C274" s="30"/>
      <c r="D274" s="30"/>
      <c r="E274" s="30"/>
      <c r="F274" s="30"/>
    </row>
    <row r="275" spans="1:6">
      <c r="A275" s="30"/>
      <c r="B275" s="30"/>
      <c r="C275" s="30"/>
      <c r="D275" s="30"/>
      <c r="E275" s="30"/>
      <c r="F275" s="30"/>
    </row>
    <row r="276" spans="1:6">
      <c r="A276" s="30"/>
      <c r="B276" s="30"/>
      <c r="C276" s="30"/>
      <c r="D276" s="30"/>
      <c r="E276" s="30"/>
      <c r="F276" s="30"/>
    </row>
    <row r="277" spans="1:6">
      <c r="A277" s="30"/>
      <c r="B277" s="30"/>
      <c r="C277" s="30"/>
      <c r="D277" s="30"/>
      <c r="E277" s="30"/>
      <c r="F277" s="30"/>
    </row>
    <row r="278" spans="1:6">
      <c r="A278" s="30"/>
      <c r="B278" s="30"/>
      <c r="C278" s="30"/>
      <c r="D278" s="30"/>
      <c r="E278" s="30"/>
      <c r="F278" s="30"/>
    </row>
    <row r="279" spans="1:6">
      <c r="A279" s="30"/>
      <c r="B279" s="30"/>
      <c r="C279" s="30"/>
      <c r="D279" s="30"/>
      <c r="E279" s="30"/>
      <c r="F279" s="30"/>
    </row>
  </sheetData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2020-12-14T18:19:00Z</dcterms:created>
  <dcterms:modified xsi:type="dcterms:W3CDTF">2020-12-15T02:46:46Z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