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成绩公示" sheetId="7" r:id="rId1"/>
  </sheets>
  <definedNames>
    <definedName name="_xlnm._FilterDatabase" localSheetId="0" hidden="1">成绩公示!$B$2:$P$240</definedName>
  </definedNames>
  <calcPr calcId="144525"/>
</workbook>
</file>

<file path=xl/sharedStrings.xml><?xml version="1.0" encoding="utf-8"?>
<sst xmlns="http://schemas.openxmlformats.org/spreadsheetml/2006/main" count="285" uniqueCount="72">
  <si>
    <t>2021教育系统招聘总成绩</t>
  </si>
  <si>
    <t>序号</t>
  </si>
  <si>
    <t>准考证号</t>
  </si>
  <si>
    <t>报考岗位</t>
  </si>
  <si>
    <t>姓名</t>
  </si>
  <si>
    <t>笔试原始总成绩</t>
  </si>
  <si>
    <t>笔试加权成绩</t>
  </si>
  <si>
    <t>少数民族加分</t>
  </si>
  <si>
    <t>临聘人员加分</t>
  </si>
  <si>
    <t>笔试总成绩</t>
  </si>
  <si>
    <t>面试成绩</t>
  </si>
  <si>
    <t>面试加权成绩</t>
  </si>
  <si>
    <t>总成绩</t>
  </si>
  <si>
    <t>排名</t>
  </si>
  <si>
    <t>101_初中语文</t>
  </si>
  <si>
    <t>缺考</t>
  </si>
  <si>
    <t>102_小学语文</t>
  </si>
  <si>
    <t>103_初中数学</t>
  </si>
  <si>
    <t>104_小学数学</t>
  </si>
  <si>
    <t>105_初中英语</t>
  </si>
  <si>
    <t>106_小学英语</t>
  </si>
  <si>
    <t>107_初中生物</t>
  </si>
  <si>
    <t>108_初中政治</t>
  </si>
  <si>
    <t>109_初中历史</t>
  </si>
  <si>
    <t>110_初中地理</t>
  </si>
  <si>
    <t>15111011808</t>
  </si>
  <si>
    <t>111_初中音乐</t>
  </si>
  <si>
    <t>王丹</t>
  </si>
  <si>
    <t>15111011703</t>
  </si>
  <si>
    <t>郝圆禄</t>
  </si>
  <si>
    <t>15111011820</t>
  </si>
  <si>
    <t>吕志强</t>
  </si>
  <si>
    <t>15112011926</t>
  </si>
  <si>
    <t>112_小学音乐</t>
  </si>
  <si>
    <t>孙乐</t>
  </si>
  <si>
    <t>15112011830</t>
  </si>
  <si>
    <t>米雪纯</t>
  </si>
  <si>
    <t>15112011914</t>
  </si>
  <si>
    <t>井金</t>
  </si>
  <si>
    <t>113_初中体育</t>
  </si>
  <si>
    <t>114_小学体育</t>
  </si>
  <si>
    <t>115_初中美术</t>
  </si>
  <si>
    <t>116_小学美术</t>
  </si>
  <si>
    <t>117_小学科学</t>
  </si>
  <si>
    <t>15118012617</t>
  </si>
  <si>
    <t>118_初中信息技术</t>
  </si>
  <si>
    <t>王映博</t>
  </si>
  <si>
    <t>15118012616</t>
  </si>
  <si>
    <t>刘璐</t>
  </si>
  <si>
    <t>15118012630</t>
  </si>
  <si>
    <t>孔翠苹</t>
  </si>
  <si>
    <t>15118012701</t>
  </si>
  <si>
    <t>黄淑</t>
  </si>
  <si>
    <t>15118012627</t>
  </si>
  <si>
    <t>杨浩</t>
  </si>
  <si>
    <t>15118012622</t>
  </si>
  <si>
    <t>肖艳</t>
  </si>
  <si>
    <t>119_初中心理健康</t>
  </si>
  <si>
    <t>120_小学心理健康</t>
  </si>
  <si>
    <t>121_初中蒙语文（蒙授）</t>
  </si>
  <si>
    <t>123_小学数学（蒙授）</t>
  </si>
  <si>
    <t>弃考</t>
  </si>
  <si>
    <t>124_高中英语（蒙授）</t>
  </si>
  <si>
    <t>125_小学英语（蒙授）</t>
  </si>
  <si>
    <t>126_高中生物（蒙授）</t>
  </si>
  <si>
    <t>127_小学音乐（蒙授）</t>
  </si>
  <si>
    <t>沙其日</t>
  </si>
  <si>
    <t>128_小学体育（蒙授）</t>
  </si>
  <si>
    <t>130_幼儿园教师（蒙授）</t>
  </si>
  <si>
    <t>132_幼儿园教师</t>
  </si>
  <si>
    <t>133_幼儿园教师（男）</t>
  </si>
  <si>
    <t>134_幼儿园教师-小教大专生</t>
  </si>
</sst>
</file>

<file path=xl/styles.xml><?xml version="1.0" encoding="utf-8"?>
<styleSheet xmlns="http://schemas.openxmlformats.org/spreadsheetml/2006/main">
  <numFmts count="5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20"/>
      <name val="方正公文小标宋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0"/>
  <sheetViews>
    <sheetView tabSelected="1" workbookViewId="0">
      <selection activeCell="O10" sqref="O10"/>
    </sheetView>
  </sheetViews>
  <sheetFormatPr defaultColWidth="18.6" defaultRowHeight="14.25"/>
  <cols>
    <col min="1" max="1" width="6.375" customWidth="1"/>
    <col min="2" max="2" width="11.875" style="2" customWidth="1"/>
    <col min="3" max="3" width="16.75" style="3" customWidth="1"/>
    <col min="4" max="4" width="8" style="1" customWidth="1"/>
    <col min="5" max="6" width="8.75833333333333" style="4" customWidth="1"/>
    <col min="7" max="8" width="8.75833333333333" style="2" customWidth="1"/>
    <col min="9" max="9" width="8.75833333333333" style="4" customWidth="1"/>
    <col min="10" max="12" width="9.625" style="4" customWidth="1"/>
    <col min="13" max="13" width="9.625" style="5" customWidth="1"/>
    <col min="14" max="28" width="18.6" style="2"/>
    <col min="29" max="16377" width="12.25" style="2"/>
    <col min="16378" max="16379" width="18.6" style="2"/>
  </cols>
  <sheetData>
    <row r="1" ht="2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8"/>
    </row>
    <row r="2" s="1" customFormat="1" ht="27" customHeight="1" spans="1:13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8" t="s">
        <v>7</v>
      </c>
      <c r="H2" s="8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9" t="s">
        <v>13</v>
      </c>
    </row>
    <row r="3" s="2" customFormat="1" ht="24" customHeight="1" spans="1:13">
      <c r="A3" s="11">
        <v>1</v>
      </c>
      <c r="B3" s="12" t="str">
        <f>"15101010106"</f>
        <v>15101010106</v>
      </c>
      <c r="C3" s="13" t="s">
        <v>14</v>
      </c>
      <c r="D3" s="14" t="str">
        <f>"王馨苑"</f>
        <v>王馨苑</v>
      </c>
      <c r="E3" s="15">
        <v>83.9</v>
      </c>
      <c r="F3" s="15">
        <f t="shared" ref="F3:F66" si="0">E3*0.6</f>
        <v>50.34</v>
      </c>
      <c r="G3" s="12"/>
      <c r="H3" s="12"/>
      <c r="I3" s="15">
        <f t="shared" ref="I3:I66" si="1">SUM(F3:H3)</f>
        <v>50.34</v>
      </c>
      <c r="J3" s="15">
        <v>73.6</v>
      </c>
      <c r="K3" s="15">
        <f t="shared" ref="K3:K13" si="2">J3*0.4</f>
        <v>29.44</v>
      </c>
      <c r="L3" s="15">
        <f t="shared" ref="L3:L13" si="3">K3+I3</f>
        <v>79.78</v>
      </c>
      <c r="M3" s="12">
        <v>1</v>
      </c>
    </row>
    <row r="4" s="2" customFormat="1" ht="24" customHeight="1" spans="1:13">
      <c r="A4" s="11">
        <v>2</v>
      </c>
      <c r="B4" s="12" t="str">
        <f>"15101010119"</f>
        <v>15101010119</v>
      </c>
      <c r="C4" s="13" t="s">
        <v>14</v>
      </c>
      <c r="D4" s="14" t="str">
        <f>"王晶"</f>
        <v>王晶</v>
      </c>
      <c r="E4" s="15">
        <v>78.99</v>
      </c>
      <c r="F4" s="15">
        <f t="shared" si="0"/>
        <v>47.394</v>
      </c>
      <c r="G4" s="12"/>
      <c r="H4" s="12"/>
      <c r="I4" s="15">
        <f t="shared" si="1"/>
        <v>47.394</v>
      </c>
      <c r="J4" s="15">
        <v>80.8</v>
      </c>
      <c r="K4" s="15">
        <f t="shared" si="2"/>
        <v>32.32</v>
      </c>
      <c r="L4" s="15">
        <f t="shared" si="3"/>
        <v>79.714</v>
      </c>
      <c r="M4" s="12">
        <v>2</v>
      </c>
    </row>
    <row r="5" s="2" customFormat="1" ht="24" customHeight="1" spans="1:13">
      <c r="A5" s="11">
        <v>3</v>
      </c>
      <c r="B5" s="12" t="str">
        <f>"15101010115"</f>
        <v>15101010115</v>
      </c>
      <c r="C5" s="13" t="s">
        <v>14</v>
      </c>
      <c r="D5" s="14" t="str">
        <f>"张千喜"</f>
        <v>张千喜</v>
      </c>
      <c r="E5" s="15">
        <v>77.49</v>
      </c>
      <c r="F5" s="15">
        <f t="shared" si="0"/>
        <v>46.494</v>
      </c>
      <c r="G5" s="12"/>
      <c r="H5" s="12"/>
      <c r="I5" s="15">
        <f t="shared" si="1"/>
        <v>46.494</v>
      </c>
      <c r="J5" s="15">
        <v>81.8</v>
      </c>
      <c r="K5" s="15">
        <f t="shared" si="2"/>
        <v>32.72</v>
      </c>
      <c r="L5" s="15">
        <f t="shared" si="3"/>
        <v>79.214</v>
      </c>
      <c r="M5" s="12">
        <v>3</v>
      </c>
    </row>
    <row r="6" s="2" customFormat="1" ht="24" customHeight="1" spans="1:13">
      <c r="A6" s="11">
        <v>4</v>
      </c>
      <c r="B6" s="12" t="str">
        <f>"15101010102"</f>
        <v>15101010102</v>
      </c>
      <c r="C6" s="13" t="s">
        <v>14</v>
      </c>
      <c r="D6" s="14" t="str">
        <f>"郭珂辛"</f>
        <v>郭珂辛</v>
      </c>
      <c r="E6" s="15">
        <v>73.65</v>
      </c>
      <c r="F6" s="15">
        <f t="shared" si="0"/>
        <v>44.19</v>
      </c>
      <c r="G6" s="12"/>
      <c r="H6" s="12"/>
      <c r="I6" s="15">
        <f t="shared" si="1"/>
        <v>44.19</v>
      </c>
      <c r="J6" s="15">
        <v>87.2</v>
      </c>
      <c r="K6" s="15">
        <f t="shared" si="2"/>
        <v>34.88</v>
      </c>
      <c r="L6" s="15">
        <f t="shared" si="3"/>
        <v>79.07</v>
      </c>
      <c r="M6" s="12">
        <v>4</v>
      </c>
    </row>
    <row r="7" s="2" customFormat="1" ht="24" customHeight="1" spans="1:13">
      <c r="A7" s="11">
        <v>5</v>
      </c>
      <c r="B7" s="11" t="str">
        <f>"15101010110"</f>
        <v>15101010110</v>
      </c>
      <c r="C7" s="16" t="s">
        <v>14</v>
      </c>
      <c r="D7" s="7" t="str">
        <f>"葛蓉蓉"</f>
        <v>葛蓉蓉</v>
      </c>
      <c r="E7" s="17">
        <v>80.67</v>
      </c>
      <c r="F7" s="17">
        <f t="shared" si="0"/>
        <v>48.402</v>
      </c>
      <c r="G7" s="11"/>
      <c r="H7" s="11"/>
      <c r="I7" s="17">
        <f t="shared" si="1"/>
        <v>48.402</v>
      </c>
      <c r="J7" s="17">
        <v>76.6</v>
      </c>
      <c r="K7" s="17">
        <f t="shared" si="2"/>
        <v>30.64</v>
      </c>
      <c r="L7" s="17">
        <f t="shared" si="3"/>
        <v>79.042</v>
      </c>
      <c r="M7" s="11">
        <v>5</v>
      </c>
    </row>
    <row r="8" s="2" customFormat="1" ht="24" customHeight="1" spans="1:13">
      <c r="A8" s="11">
        <v>6</v>
      </c>
      <c r="B8" s="11" t="str">
        <f>"15101010109"</f>
        <v>15101010109</v>
      </c>
      <c r="C8" s="16" t="s">
        <v>14</v>
      </c>
      <c r="D8" s="7" t="str">
        <f>"李佳玥"</f>
        <v>李佳玥</v>
      </c>
      <c r="E8" s="17">
        <v>78.57</v>
      </c>
      <c r="F8" s="17">
        <f t="shared" si="0"/>
        <v>47.142</v>
      </c>
      <c r="G8" s="11"/>
      <c r="H8" s="11"/>
      <c r="I8" s="17">
        <f t="shared" si="1"/>
        <v>47.142</v>
      </c>
      <c r="J8" s="17">
        <v>76.6</v>
      </c>
      <c r="K8" s="17">
        <f t="shared" si="2"/>
        <v>30.64</v>
      </c>
      <c r="L8" s="17">
        <f t="shared" si="3"/>
        <v>77.782</v>
      </c>
      <c r="M8" s="11">
        <v>6</v>
      </c>
    </row>
    <row r="9" s="2" customFormat="1" ht="24" customHeight="1" spans="1:13">
      <c r="A9" s="11">
        <v>7</v>
      </c>
      <c r="B9" s="11" t="str">
        <f>"15101010111"</f>
        <v>15101010111</v>
      </c>
      <c r="C9" s="16" t="s">
        <v>14</v>
      </c>
      <c r="D9" s="7" t="str">
        <f>"安婧"</f>
        <v>安婧</v>
      </c>
      <c r="E9" s="17">
        <v>73.15</v>
      </c>
      <c r="F9" s="17">
        <f t="shared" si="0"/>
        <v>43.89</v>
      </c>
      <c r="G9" s="11">
        <v>2.5</v>
      </c>
      <c r="H9" s="11"/>
      <c r="I9" s="17">
        <f t="shared" si="1"/>
        <v>46.39</v>
      </c>
      <c r="J9" s="17">
        <v>78.4</v>
      </c>
      <c r="K9" s="17">
        <f t="shared" si="2"/>
        <v>31.36</v>
      </c>
      <c r="L9" s="17">
        <f t="shared" si="3"/>
        <v>77.75</v>
      </c>
      <c r="M9" s="11">
        <v>7</v>
      </c>
    </row>
    <row r="10" s="2" customFormat="1" ht="24" customHeight="1" spans="1:13">
      <c r="A10" s="11">
        <v>8</v>
      </c>
      <c r="B10" s="11" t="str">
        <f>"15101010116"</f>
        <v>15101010116</v>
      </c>
      <c r="C10" s="16" t="s">
        <v>14</v>
      </c>
      <c r="D10" s="7" t="str">
        <f>"武可敏"</f>
        <v>武可敏</v>
      </c>
      <c r="E10" s="17">
        <v>74.39</v>
      </c>
      <c r="F10" s="17">
        <f t="shared" si="0"/>
        <v>44.634</v>
      </c>
      <c r="G10" s="11"/>
      <c r="H10" s="11"/>
      <c r="I10" s="17">
        <f t="shared" si="1"/>
        <v>44.634</v>
      </c>
      <c r="J10" s="17">
        <v>80.8</v>
      </c>
      <c r="K10" s="17">
        <f t="shared" si="2"/>
        <v>32.32</v>
      </c>
      <c r="L10" s="17">
        <f t="shared" si="3"/>
        <v>76.954</v>
      </c>
      <c r="M10" s="11">
        <v>8</v>
      </c>
    </row>
    <row r="11" s="2" customFormat="1" ht="24" customHeight="1" spans="1:13">
      <c r="A11" s="11">
        <v>9</v>
      </c>
      <c r="B11" s="11" t="str">
        <f>"15101010112"</f>
        <v>15101010112</v>
      </c>
      <c r="C11" s="16" t="s">
        <v>14</v>
      </c>
      <c r="D11" s="7" t="str">
        <f>"张慧"</f>
        <v>张慧</v>
      </c>
      <c r="E11" s="17">
        <v>77.43</v>
      </c>
      <c r="F11" s="17">
        <f t="shared" si="0"/>
        <v>46.458</v>
      </c>
      <c r="G11" s="11"/>
      <c r="H11" s="11"/>
      <c r="I11" s="17">
        <f t="shared" si="1"/>
        <v>46.458</v>
      </c>
      <c r="J11" s="17">
        <v>73</v>
      </c>
      <c r="K11" s="17">
        <f t="shared" si="2"/>
        <v>29.2</v>
      </c>
      <c r="L11" s="17">
        <f t="shared" si="3"/>
        <v>75.658</v>
      </c>
      <c r="M11" s="11">
        <v>9</v>
      </c>
    </row>
    <row r="12" s="2" customFormat="1" ht="24" customHeight="1" spans="1:13">
      <c r="A12" s="11">
        <v>10</v>
      </c>
      <c r="B12" s="11" t="str">
        <f>"15101010105"</f>
        <v>15101010105</v>
      </c>
      <c r="C12" s="16" t="s">
        <v>14</v>
      </c>
      <c r="D12" s="7" t="str">
        <f>"许小红"</f>
        <v>许小红</v>
      </c>
      <c r="E12" s="17">
        <v>75.87</v>
      </c>
      <c r="F12" s="17">
        <f t="shared" si="0"/>
        <v>45.522</v>
      </c>
      <c r="G12" s="11"/>
      <c r="H12" s="11"/>
      <c r="I12" s="17">
        <f t="shared" si="1"/>
        <v>45.522</v>
      </c>
      <c r="J12" s="17">
        <v>73</v>
      </c>
      <c r="K12" s="17">
        <f t="shared" si="2"/>
        <v>29.2</v>
      </c>
      <c r="L12" s="17">
        <f t="shared" si="3"/>
        <v>74.722</v>
      </c>
      <c r="M12" s="11">
        <v>10</v>
      </c>
    </row>
    <row r="13" s="2" customFormat="1" ht="24" customHeight="1" spans="1:13">
      <c r="A13" s="11">
        <v>11</v>
      </c>
      <c r="B13" s="11" t="str">
        <f>"15101010104"</f>
        <v>15101010104</v>
      </c>
      <c r="C13" s="16" t="s">
        <v>14</v>
      </c>
      <c r="D13" s="7" t="str">
        <f>"刘俊丽"</f>
        <v>刘俊丽</v>
      </c>
      <c r="E13" s="17">
        <v>77.91</v>
      </c>
      <c r="F13" s="17">
        <f t="shared" si="0"/>
        <v>46.746</v>
      </c>
      <c r="G13" s="11"/>
      <c r="H13" s="11"/>
      <c r="I13" s="17">
        <f t="shared" si="1"/>
        <v>46.746</v>
      </c>
      <c r="J13" s="17">
        <v>69</v>
      </c>
      <c r="K13" s="17">
        <f t="shared" si="2"/>
        <v>27.6</v>
      </c>
      <c r="L13" s="17">
        <f t="shared" si="3"/>
        <v>74.346</v>
      </c>
      <c r="M13" s="11">
        <v>11</v>
      </c>
    </row>
    <row r="14" s="2" customFormat="1" ht="24" customHeight="1" spans="1:13">
      <c r="A14" s="11">
        <v>12</v>
      </c>
      <c r="B14" s="11" t="str">
        <f>"15101010108"</f>
        <v>15101010108</v>
      </c>
      <c r="C14" s="16" t="s">
        <v>14</v>
      </c>
      <c r="D14" s="7" t="str">
        <f>"朱苗"</f>
        <v>朱苗</v>
      </c>
      <c r="E14" s="17">
        <v>79.1</v>
      </c>
      <c r="F14" s="17">
        <f t="shared" si="0"/>
        <v>47.46</v>
      </c>
      <c r="G14" s="11"/>
      <c r="H14" s="11"/>
      <c r="I14" s="17">
        <f t="shared" si="1"/>
        <v>47.46</v>
      </c>
      <c r="J14" s="17" t="s">
        <v>15</v>
      </c>
      <c r="K14" s="17"/>
      <c r="L14" s="17"/>
      <c r="M14" s="11">
        <v>12</v>
      </c>
    </row>
    <row r="15" s="2" customFormat="1" ht="24" customHeight="1" spans="1:13">
      <c r="A15" s="11">
        <v>13</v>
      </c>
      <c r="B15" s="12" t="str">
        <f>"15102010620"</f>
        <v>15102010620</v>
      </c>
      <c r="C15" s="13" t="s">
        <v>16</v>
      </c>
      <c r="D15" s="14" t="str">
        <f>"杜文英"</f>
        <v>杜文英</v>
      </c>
      <c r="E15" s="15">
        <v>82.97</v>
      </c>
      <c r="F15" s="15">
        <f t="shared" si="0"/>
        <v>49.782</v>
      </c>
      <c r="G15" s="12"/>
      <c r="H15" s="12"/>
      <c r="I15" s="15">
        <f t="shared" si="1"/>
        <v>49.782</v>
      </c>
      <c r="J15" s="15">
        <v>80.96</v>
      </c>
      <c r="K15" s="15">
        <f t="shared" ref="K15:K53" si="4">J15*0.4</f>
        <v>32.384</v>
      </c>
      <c r="L15" s="15">
        <f t="shared" ref="L15:L53" si="5">K15+I15</f>
        <v>82.166</v>
      </c>
      <c r="M15" s="12">
        <v>1</v>
      </c>
    </row>
    <row r="16" s="2" customFormat="1" ht="24" customHeight="1" spans="1:13">
      <c r="A16" s="11">
        <v>14</v>
      </c>
      <c r="B16" s="12" t="str">
        <f>"15102010217"</f>
        <v>15102010217</v>
      </c>
      <c r="C16" s="13" t="s">
        <v>16</v>
      </c>
      <c r="D16" s="14" t="str">
        <f>"何转弟"</f>
        <v>何转弟</v>
      </c>
      <c r="E16" s="15">
        <v>78.62</v>
      </c>
      <c r="F16" s="15">
        <f t="shared" si="0"/>
        <v>47.172</v>
      </c>
      <c r="G16" s="12"/>
      <c r="H16" s="12"/>
      <c r="I16" s="15">
        <f t="shared" si="1"/>
        <v>47.172</v>
      </c>
      <c r="J16" s="15">
        <v>86.6</v>
      </c>
      <c r="K16" s="15">
        <f t="shared" si="4"/>
        <v>34.64</v>
      </c>
      <c r="L16" s="15">
        <f t="shared" si="5"/>
        <v>81.812</v>
      </c>
      <c r="M16" s="12">
        <v>2</v>
      </c>
    </row>
    <row r="17" s="2" customFormat="1" ht="24" customHeight="1" spans="1:13">
      <c r="A17" s="11">
        <v>15</v>
      </c>
      <c r="B17" s="12" t="str">
        <f>"15102010727"</f>
        <v>15102010727</v>
      </c>
      <c r="C17" s="13" t="s">
        <v>16</v>
      </c>
      <c r="D17" s="14" t="str">
        <f>"尚芳芳"</f>
        <v>尚芳芳</v>
      </c>
      <c r="E17" s="15">
        <v>81.35</v>
      </c>
      <c r="F17" s="15">
        <f t="shared" si="0"/>
        <v>48.81</v>
      </c>
      <c r="G17" s="12"/>
      <c r="H17" s="12"/>
      <c r="I17" s="15">
        <f t="shared" si="1"/>
        <v>48.81</v>
      </c>
      <c r="J17" s="15">
        <v>82.2</v>
      </c>
      <c r="K17" s="15">
        <f t="shared" si="4"/>
        <v>32.88</v>
      </c>
      <c r="L17" s="15">
        <f t="shared" si="5"/>
        <v>81.69</v>
      </c>
      <c r="M17" s="12">
        <v>3</v>
      </c>
    </row>
    <row r="18" s="2" customFormat="1" ht="24" customHeight="1" spans="1:13">
      <c r="A18" s="11">
        <v>16</v>
      </c>
      <c r="B18" s="12" t="str">
        <f>"15102010718"</f>
        <v>15102010718</v>
      </c>
      <c r="C18" s="13" t="s">
        <v>16</v>
      </c>
      <c r="D18" s="14" t="str">
        <f>"张可"</f>
        <v>张可</v>
      </c>
      <c r="E18" s="15">
        <v>80.6</v>
      </c>
      <c r="F18" s="15">
        <f t="shared" si="0"/>
        <v>48.36</v>
      </c>
      <c r="G18" s="12"/>
      <c r="H18" s="12"/>
      <c r="I18" s="15">
        <f t="shared" si="1"/>
        <v>48.36</v>
      </c>
      <c r="J18" s="15">
        <v>83.28</v>
      </c>
      <c r="K18" s="15">
        <f t="shared" si="4"/>
        <v>33.312</v>
      </c>
      <c r="L18" s="15">
        <f t="shared" si="5"/>
        <v>81.672</v>
      </c>
      <c r="M18" s="12">
        <v>4</v>
      </c>
    </row>
    <row r="19" s="2" customFormat="1" ht="24" customHeight="1" spans="1:13">
      <c r="A19" s="11">
        <v>17</v>
      </c>
      <c r="B19" s="12" t="str">
        <f>"15102010222"</f>
        <v>15102010222</v>
      </c>
      <c r="C19" s="13" t="s">
        <v>16</v>
      </c>
      <c r="D19" s="14" t="str">
        <f>"邬美英"</f>
        <v>邬美英</v>
      </c>
      <c r="E19" s="15">
        <v>77.67</v>
      </c>
      <c r="F19" s="15">
        <f t="shared" si="0"/>
        <v>46.602</v>
      </c>
      <c r="G19" s="12"/>
      <c r="H19" s="12"/>
      <c r="I19" s="15">
        <f t="shared" si="1"/>
        <v>46.602</v>
      </c>
      <c r="J19" s="15">
        <v>86.6</v>
      </c>
      <c r="K19" s="15">
        <f t="shared" si="4"/>
        <v>34.64</v>
      </c>
      <c r="L19" s="15">
        <f t="shared" si="5"/>
        <v>81.242</v>
      </c>
      <c r="M19" s="12">
        <v>5</v>
      </c>
    </row>
    <row r="20" s="2" customFormat="1" ht="24" customHeight="1" spans="1:13">
      <c r="A20" s="11">
        <v>18</v>
      </c>
      <c r="B20" s="12" t="str">
        <f>"15102010627"</f>
        <v>15102010627</v>
      </c>
      <c r="C20" s="13" t="s">
        <v>16</v>
      </c>
      <c r="D20" s="14" t="str">
        <f>"侯慧芳"</f>
        <v>侯慧芳</v>
      </c>
      <c r="E20" s="15">
        <v>77.85</v>
      </c>
      <c r="F20" s="15">
        <f t="shared" si="0"/>
        <v>46.71</v>
      </c>
      <c r="G20" s="12"/>
      <c r="H20" s="12"/>
      <c r="I20" s="15">
        <f t="shared" si="1"/>
        <v>46.71</v>
      </c>
      <c r="J20" s="15">
        <v>85.9</v>
      </c>
      <c r="K20" s="15">
        <f t="shared" si="4"/>
        <v>34.36</v>
      </c>
      <c r="L20" s="15">
        <f t="shared" si="5"/>
        <v>81.07</v>
      </c>
      <c r="M20" s="12">
        <v>6</v>
      </c>
    </row>
    <row r="21" s="2" customFormat="1" ht="24" customHeight="1" spans="1:13">
      <c r="A21" s="11">
        <v>19</v>
      </c>
      <c r="B21" s="12" t="str">
        <f>"15102010205"</f>
        <v>15102010205</v>
      </c>
      <c r="C21" s="13" t="s">
        <v>16</v>
      </c>
      <c r="D21" s="14" t="str">
        <f>"杨璐"</f>
        <v>杨璐</v>
      </c>
      <c r="E21" s="15">
        <v>82.42</v>
      </c>
      <c r="F21" s="15">
        <f t="shared" si="0"/>
        <v>49.452</v>
      </c>
      <c r="G21" s="12"/>
      <c r="H21" s="12"/>
      <c r="I21" s="15">
        <f t="shared" si="1"/>
        <v>49.452</v>
      </c>
      <c r="J21" s="15">
        <v>78.46</v>
      </c>
      <c r="K21" s="15">
        <f t="shared" si="4"/>
        <v>31.384</v>
      </c>
      <c r="L21" s="15">
        <f t="shared" si="5"/>
        <v>80.836</v>
      </c>
      <c r="M21" s="12">
        <v>7</v>
      </c>
    </row>
    <row r="22" s="2" customFormat="1" ht="24" customHeight="1" spans="1:13">
      <c r="A22" s="11">
        <v>20</v>
      </c>
      <c r="B22" s="12" t="str">
        <f>"15102010505"</f>
        <v>15102010505</v>
      </c>
      <c r="C22" s="13" t="s">
        <v>16</v>
      </c>
      <c r="D22" s="14" t="str">
        <f>"越佳美"</f>
        <v>越佳美</v>
      </c>
      <c r="E22" s="15">
        <v>77.18</v>
      </c>
      <c r="F22" s="15">
        <f t="shared" si="0"/>
        <v>46.308</v>
      </c>
      <c r="G22" s="12">
        <v>2.5</v>
      </c>
      <c r="H22" s="12"/>
      <c r="I22" s="15">
        <f t="shared" si="1"/>
        <v>48.808</v>
      </c>
      <c r="J22" s="15">
        <v>79.6</v>
      </c>
      <c r="K22" s="15">
        <f t="shared" si="4"/>
        <v>31.84</v>
      </c>
      <c r="L22" s="15">
        <f t="shared" si="5"/>
        <v>80.648</v>
      </c>
      <c r="M22" s="12">
        <v>8</v>
      </c>
    </row>
    <row r="23" s="2" customFormat="1" ht="24" customHeight="1" spans="1:13">
      <c r="A23" s="11">
        <v>21</v>
      </c>
      <c r="B23" s="12" t="str">
        <f>"15102010609"</f>
        <v>15102010609</v>
      </c>
      <c r="C23" s="13" t="s">
        <v>16</v>
      </c>
      <c r="D23" s="14" t="str">
        <f>"王慧芳"</f>
        <v>王慧芳</v>
      </c>
      <c r="E23" s="15">
        <v>78.21</v>
      </c>
      <c r="F23" s="15">
        <f t="shared" si="0"/>
        <v>46.926</v>
      </c>
      <c r="G23" s="12"/>
      <c r="H23" s="12"/>
      <c r="I23" s="15">
        <f t="shared" si="1"/>
        <v>46.926</v>
      </c>
      <c r="J23" s="15">
        <v>84.1</v>
      </c>
      <c r="K23" s="15">
        <f t="shared" si="4"/>
        <v>33.64</v>
      </c>
      <c r="L23" s="15">
        <f t="shared" si="5"/>
        <v>80.566</v>
      </c>
      <c r="M23" s="12">
        <v>9</v>
      </c>
    </row>
    <row r="24" s="2" customFormat="1" ht="24" customHeight="1" spans="1:13">
      <c r="A24" s="11">
        <v>22</v>
      </c>
      <c r="B24" s="12" t="str">
        <f>"15102010706"</f>
        <v>15102010706</v>
      </c>
      <c r="C24" s="13" t="s">
        <v>16</v>
      </c>
      <c r="D24" s="14" t="str">
        <f>"牛蓉"</f>
        <v>牛蓉</v>
      </c>
      <c r="E24" s="15">
        <v>82.17</v>
      </c>
      <c r="F24" s="15">
        <f t="shared" si="0"/>
        <v>49.302</v>
      </c>
      <c r="G24" s="12"/>
      <c r="H24" s="12"/>
      <c r="I24" s="15">
        <f t="shared" si="1"/>
        <v>49.302</v>
      </c>
      <c r="J24" s="15">
        <v>76.2</v>
      </c>
      <c r="K24" s="15">
        <f t="shared" si="4"/>
        <v>30.48</v>
      </c>
      <c r="L24" s="15">
        <f t="shared" si="5"/>
        <v>79.782</v>
      </c>
      <c r="M24" s="12">
        <v>10</v>
      </c>
    </row>
    <row r="25" s="2" customFormat="1" ht="24" customHeight="1" spans="1:13">
      <c r="A25" s="11">
        <v>23</v>
      </c>
      <c r="B25" s="12" t="str">
        <f>"15102010201"</f>
        <v>15102010201</v>
      </c>
      <c r="C25" s="13" t="s">
        <v>16</v>
      </c>
      <c r="D25" s="14" t="str">
        <f>"冯晓玲"</f>
        <v>冯晓玲</v>
      </c>
      <c r="E25" s="15">
        <v>77.99</v>
      </c>
      <c r="F25" s="15">
        <f t="shared" si="0"/>
        <v>46.794</v>
      </c>
      <c r="G25" s="12"/>
      <c r="H25" s="12"/>
      <c r="I25" s="15">
        <f t="shared" si="1"/>
        <v>46.794</v>
      </c>
      <c r="J25" s="15">
        <v>82.4</v>
      </c>
      <c r="K25" s="15">
        <f t="shared" si="4"/>
        <v>32.96</v>
      </c>
      <c r="L25" s="15">
        <f t="shared" si="5"/>
        <v>79.754</v>
      </c>
      <c r="M25" s="12">
        <v>11</v>
      </c>
    </row>
    <row r="26" s="2" customFormat="1" ht="24" customHeight="1" spans="1:13">
      <c r="A26" s="11">
        <v>24</v>
      </c>
      <c r="B26" s="12" t="str">
        <f>"15102010426"</f>
        <v>15102010426</v>
      </c>
      <c r="C26" s="13" t="s">
        <v>16</v>
      </c>
      <c r="D26" s="14" t="str">
        <f>"李聆院"</f>
        <v>李聆院</v>
      </c>
      <c r="E26" s="15">
        <v>76.41</v>
      </c>
      <c r="F26" s="15">
        <f t="shared" si="0"/>
        <v>45.846</v>
      </c>
      <c r="G26" s="12"/>
      <c r="H26" s="12"/>
      <c r="I26" s="15">
        <f t="shared" si="1"/>
        <v>45.846</v>
      </c>
      <c r="J26" s="15">
        <v>84.5</v>
      </c>
      <c r="K26" s="15">
        <f t="shared" si="4"/>
        <v>33.8</v>
      </c>
      <c r="L26" s="15">
        <f t="shared" si="5"/>
        <v>79.646</v>
      </c>
      <c r="M26" s="12">
        <v>12</v>
      </c>
    </row>
    <row r="27" s="2" customFormat="1" ht="24" customHeight="1" spans="1:13">
      <c r="A27" s="11">
        <v>25</v>
      </c>
      <c r="B27" s="12" t="str">
        <f>"15102010405"</f>
        <v>15102010405</v>
      </c>
      <c r="C27" s="13" t="s">
        <v>16</v>
      </c>
      <c r="D27" s="14" t="str">
        <f>"王琴"</f>
        <v>王琴</v>
      </c>
      <c r="E27" s="15">
        <v>78.82</v>
      </c>
      <c r="F27" s="15">
        <f t="shared" si="0"/>
        <v>47.292</v>
      </c>
      <c r="G27" s="12"/>
      <c r="H27" s="12"/>
      <c r="I27" s="15">
        <f t="shared" si="1"/>
        <v>47.292</v>
      </c>
      <c r="J27" s="15">
        <v>80.4</v>
      </c>
      <c r="K27" s="15">
        <f t="shared" si="4"/>
        <v>32.16</v>
      </c>
      <c r="L27" s="15">
        <f t="shared" si="5"/>
        <v>79.452</v>
      </c>
      <c r="M27" s="12">
        <v>13</v>
      </c>
    </row>
    <row r="28" s="2" customFormat="1" ht="24" customHeight="1" spans="1:13">
      <c r="A28" s="11">
        <v>26</v>
      </c>
      <c r="B28" s="12" t="str">
        <f>"15102010308"</f>
        <v>15102010308</v>
      </c>
      <c r="C28" s="13" t="s">
        <v>16</v>
      </c>
      <c r="D28" s="14" t="str">
        <f>"杨璐"</f>
        <v>杨璐</v>
      </c>
      <c r="E28" s="15">
        <v>75.35</v>
      </c>
      <c r="F28" s="15">
        <f t="shared" si="0"/>
        <v>45.21</v>
      </c>
      <c r="G28" s="12"/>
      <c r="H28" s="12"/>
      <c r="I28" s="15">
        <f t="shared" si="1"/>
        <v>45.21</v>
      </c>
      <c r="J28" s="15">
        <v>85.2</v>
      </c>
      <c r="K28" s="15">
        <f t="shared" si="4"/>
        <v>34.08</v>
      </c>
      <c r="L28" s="15">
        <f t="shared" si="5"/>
        <v>79.29</v>
      </c>
      <c r="M28" s="12">
        <v>14</v>
      </c>
    </row>
    <row r="29" s="2" customFormat="1" ht="24" customHeight="1" spans="1:13">
      <c r="A29" s="11">
        <v>27</v>
      </c>
      <c r="B29" s="12" t="str">
        <f>"15102010220"</f>
        <v>15102010220</v>
      </c>
      <c r="C29" s="13" t="s">
        <v>16</v>
      </c>
      <c r="D29" s="14" t="str">
        <f>"郝彩荣"</f>
        <v>郝彩荣</v>
      </c>
      <c r="E29" s="15">
        <v>77.49</v>
      </c>
      <c r="F29" s="15">
        <f t="shared" si="0"/>
        <v>46.494</v>
      </c>
      <c r="G29" s="12"/>
      <c r="H29" s="12"/>
      <c r="I29" s="15">
        <f t="shared" si="1"/>
        <v>46.494</v>
      </c>
      <c r="J29" s="15">
        <v>81.7</v>
      </c>
      <c r="K29" s="15">
        <f t="shared" si="4"/>
        <v>32.68</v>
      </c>
      <c r="L29" s="15">
        <f t="shared" si="5"/>
        <v>79.174</v>
      </c>
      <c r="M29" s="12">
        <v>15</v>
      </c>
    </row>
    <row r="30" s="2" customFormat="1" ht="24" customHeight="1" spans="1:13">
      <c r="A30" s="11">
        <v>28</v>
      </c>
      <c r="B30" s="12" t="str">
        <f>"15102010603"</f>
        <v>15102010603</v>
      </c>
      <c r="C30" s="13" t="s">
        <v>16</v>
      </c>
      <c r="D30" s="14" t="str">
        <f>"万雅荣"</f>
        <v>万雅荣</v>
      </c>
      <c r="E30" s="15">
        <v>76.38</v>
      </c>
      <c r="F30" s="15">
        <f t="shared" si="0"/>
        <v>45.828</v>
      </c>
      <c r="G30" s="12"/>
      <c r="H30" s="12"/>
      <c r="I30" s="15">
        <f t="shared" si="1"/>
        <v>45.828</v>
      </c>
      <c r="J30" s="15">
        <v>83.1</v>
      </c>
      <c r="K30" s="15">
        <f t="shared" si="4"/>
        <v>33.24</v>
      </c>
      <c r="L30" s="15">
        <f t="shared" si="5"/>
        <v>79.068</v>
      </c>
      <c r="M30" s="12">
        <v>16</v>
      </c>
    </row>
    <row r="31" s="2" customFormat="1" ht="24" customHeight="1" spans="1:13">
      <c r="A31" s="11">
        <v>29</v>
      </c>
      <c r="B31" s="12" t="str">
        <f>"15102010306"</f>
        <v>15102010306</v>
      </c>
      <c r="C31" s="13" t="s">
        <v>16</v>
      </c>
      <c r="D31" s="14" t="str">
        <f>"任晓丽"</f>
        <v>任晓丽</v>
      </c>
      <c r="E31" s="15">
        <v>76.45</v>
      </c>
      <c r="F31" s="15">
        <f t="shared" si="0"/>
        <v>45.87</v>
      </c>
      <c r="G31" s="12"/>
      <c r="H31" s="12"/>
      <c r="I31" s="15">
        <f t="shared" si="1"/>
        <v>45.87</v>
      </c>
      <c r="J31" s="15">
        <v>82.5</v>
      </c>
      <c r="K31" s="15">
        <f t="shared" si="4"/>
        <v>33</v>
      </c>
      <c r="L31" s="15">
        <f t="shared" si="5"/>
        <v>78.87</v>
      </c>
      <c r="M31" s="12">
        <v>17</v>
      </c>
    </row>
    <row r="32" s="2" customFormat="1" ht="24" customHeight="1" spans="1:13">
      <c r="A32" s="11">
        <v>30</v>
      </c>
      <c r="B32" s="12" t="str">
        <f>"15102010303"</f>
        <v>15102010303</v>
      </c>
      <c r="C32" s="13" t="s">
        <v>16</v>
      </c>
      <c r="D32" s="14" t="str">
        <f>"杨淑琪"</f>
        <v>杨淑琪</v>
      </c>
      <c r="E32" s="15">
        <v>75.69</v>
      </c>
      <c r="F32" s="15">
        <f t="shared" si="0"/>
        <v>45.414</v>
      </c>
      <c r="G32" s="12"/>
      <c r="H32" s="12"/>
      <c r="I32" s="15">
        <f t="shared" si="1"/>
        <v>45.414</v>
      </c>
      <c r="J32" s="15">
        <v>83.6</v>
      </c>
      <c r="K32" s="15">
        <f t="shared" si="4"/>
        <v>33.44</v>
      </c>
      <c r="L32" s="15">
        <f t="shared" si="5"/>
        <v>78.854</v>
      </c>
      <c r="M32" s="12">
        <v>18</v>
      </c>
    </row>
    <row r="33" s="2" customFormat="1" ht="24" customHeight="1" spans="1:13">
      <c r="A33" s="11">
        <v>31</v>
      </c>
      <c r="B33" s="12" t="str">
        <f>"15102010730"</f>
        <v>15102010730</v>
      </c>
      <c r="C33" s="13" t="s">
        <v>16</v>
      </c>
      <c r="D33" s="14" t="str">
        <f>"王敏"</f>
        <v>王敏</v>
      </c>
      <c r="E33" s="15">
        <v>75.57</v>
      </c>
      <c r="F33" s="15">
        <f t="shared" si="0"/>
        <v>45.342</v>
      </c>
      <c r="G33" s="12"/>
      <c r="H33" s="12"/>
      <c r="I33" s="15">
        <f t="shared" si="1"/>
        <v>45.342</v>
      </c>
      <c r="J33" s="15">
        <v>83.22</v>
      </c>
      <c r="K33" s="15">
        <f t="shared" si="4"/>
        <v>33.288</v>
      </c>
      <c r="L33" s="15">
        <f t="shared" si="5"/>
        <v>78.63</v>
      </c>
      <c r="M33" s="12">
        <v>19</v>
      </c>
    </row>
    <row r="34" s="2" customFormat="1" ht="24" customHeight="1" spans="1:13">
      <c r="A34" s="11">
        <v>32</v>
      </c>
      <c r="B34" s="12" t="str">
        <f>"15102010528"</f>
        <v>15102010528</v>
      </c>
      <c r="C34" s="13" t="s">
        <v>16</v>
      </c>
      <c r="D34" s="14" t="str">
        <f>"武皓月"</f>
        <v>武皓月</v>
      </c>
      <c r="E34" s="15">
        <v>75.1</v>
      </c>
      <c r="F34" s="15">
        <f t="shared" si="0"/>
        <v>45.06</v>
      </c>
      <c r="G34" s="12"/>
      <c r="H34" s="12"/>
      <c r="I34" s="15">
        <f t="shared" si="1"/>
        <v>45.06</v>
      </c>
      <c r="J34" s="15">
        <v>83.86</v>
      </c>
      <c r="K34" s="15">
        <f t="shared" si="4"/>
        <v>33.544</v>
      </c>
      <c r="L34" s="15">
        <f t="shared" si="5"/>
        <v>78.604</v>
      </c>
      <c r="M34" s="12">
        <v>20</v>
      </c>
    </row>
    <row r="35" s="2" customFormat="1" ht="24" customHeight="1" spans="1:13">
      <c r="A35" s="11">
        <v>33</v>
      </c>
      <c r="B35" s="12" t="str">
        <f>"15102010218"</f>
        <v>15102010218</v>
      </c>
      <c r="C35" s="13" t="s">
        <v>16</v>
      </c>
      <c r="D35" s="14" t="str">
        <f>"惠斯琴"</f>
        <v>惠斯琴</v>
      </c>
      <c r="E35" s="15">
        <v>71.69</v>
      </c>
      <c r="F35" s="15">
        <f t="shared" si="0"/>
        <v>43.014</v>
      </c>
      <c r="G35" s="12">
        <v>2.5</v>
      </c>
      <c r="H35" s="12"/>
      <c r="I35" s="15">
        <f t="shared" si="1"/>
        <v>45.514</v>
      </c>
      <c r="J35" s="15">
        <v>82.7</v>
      </c>
      <c r="K35" s="15">
        <f t="shared" si="4"/>
        <v>33.08</v>
      </c>
      <c r="L35" s="15">
        <f t="shared" si="5"/>
        <v>78.594</v>
      </c>
      <c r="M35" s="12">
        <v>21</v>
      </c>
    </row>
    <row r="36" s="2" customFormat="1" ht="24" customHeight="1" spans="1:13">
      <c r="A36" s="11">
        <v>34</v>
      </c>
      <c r="B36" s="12" t="str">
        <f>"15102010325"</f>
        <v>15102010325</v>
      </c>
      <c r="C36" s="13" t="s">
        <v>16</v>
      </c>
      <c r="D36" s="14" t="str">
        <f>"沙拉娜"</f>
        <v>沙拉娜</v>
      </c>
      <c r="E36" s="15">
        <v>74.28</v>
      </c>
      <c r="F36" s="15">
        <f t="shared" si="0"/>
        <v>44.568</v>
      </c>
      <c r="G36" s="12">
        <v>2.5</v>
      </c>
      <c r="H36" s="12"/>
      <c r="I36" s="15">
        <f t="shared" si="1"/>
        <v>47.068</v>
      </c>
      <c r="J36" s="15">
        <v>78.8</v>
      </c>
      <c r="K36" s="15">
        <f t="shared" si="4"/>
        <v>31.52</v>
      </c>
      <c r="L36" s="15">
        <f t="shared" si="5"/>
        <v>78.588</v>
      </c>
      <c r="M36" s="12">
        <v>22</v>
      </c>
    </row>
    <row r="37" s="2" customFormat="1" ht="24" customHeight="1" spans="1:13">
      <c r="A37" s="11">
        <v>35</v>
      </c>
      <c r="B37" s="11" t="str">
        <f>"15102010221"</f>
        <v>15102010221</v>
      </c>
      <c r="C37" s="16" t="s">
        <v>16</v>
      </c>
      <c r="D37" s="7" t="str">
        <f>"杭雅茹"</f>
        <v>杭雅茹</v>
      </c>
      <c r="E37" s="17">
        <v>78.29</v>
      </c>
      <c r="F37" s="17">
        <f t="shared" si="0"/>
        <v>46.974</v>
      </c>
      <c r="G37" s="11"/>
      <c r="H37" s="11"/>
      <c r="I37" s="17">
        <f t="shared" si="1"/>
        <v>46.974</v>
      </c>
      <c r="J37" s="17">
        <v>78.8</v>
      </c>
      <c r="K37" s="17">
        <f t="shared" si="4"/>
        <v>31.52</v>
      </c>
      <c r="L37" s="17">
        <f t="shared" si="5"/>
        <v>78.494</v>
      </c>
      <c r="M37" s="11">
        <v>23</v>
      </c>
    </row>
    <row r="38" s="2" customFormat="1" ht="24" customHeight="1" spans="1:13">
      <c r="A38" s="11">
        <v>36</v>
      </c>
      <c r="B38" s="11" t="str">
        <f>"15102010427"</f>
        <v>15102010427</v>
      </c>
      <c r="C38" s="16" t="s">
        <v>16</v>
      </c>
      <c r="D38" s="7" t="str">
        <f>"王璐"</f>
        <v>王璐</v>
      </c>
      <c r="E38" s="17">
        <v>75.94</v>
      </c>
      <c r="F38" s="17">
        <f t="shared" si="0"/>
        <v>45.564</v>
      </c>
      <c r="G38" s="11"/>
      <c r="H38" s="11"/>
      <c r="I38" s="17">
        <f t="shared" si="1"/>
        <v>45.564</v>
      </c>
      <c r="J38" s="17">
        <v>82.02</v>
      </c>
      <c r="K38" s="17">
        <f t="shared" si="4"/>
        <v>32.808</v>
      </c>
      <c r="L38" s="17">
        <f t="shared" si="5"/>
        <v>78.372</v>
      </c>
      <c r="M38" s="11">
        <v>24</v>
      </c>
    </row>
    <row r="39" s="2" customFormat="1" ht="24" customHeight="1" spans="1:13">
      <c r="A39" s="11">
        <v>37</v>
      </c>
      <c r="B39" s="11" t="str">
        <f>"15102010601"</f>
        <v>15102010601</v>
      </c>
      <c r="C39" s="16" t="s">
        <v>16</v>
      </c>
      <c r="D39" s="7" t="str">
        <f>"王婷"</f>
        <v>王婷</v>
      </c>
      <c r="E39" s="17">
        <v>75.14</v>
      </c>
      <c r="F39" s="17">
        <f t="shared" si="0"/>
        <v>45.084</v>
      </c>
      <c r="G39" s="11"/>
      <c r="H39" s="11"/>
      <c r="I39" s="17">
        <f t="shared" si="1"/>
        <v>45.084</v>
      </c>
      <c r="J39" s="17">
        <v>83.06</v>
      </c>
      <c r="K39" s="17">
        <f t="shared" si="4"/>
        <v>33.224</v>
      </c>
      <c r="L39" s="17">
        <f t="shared" si="5"/>
        <v>78.308</v>
      </c>
      <c r="M39" s="11">
        <v>25</v>
      </c>
    </row>
    <row r="40" s="2" customFormat="1" ht="24" customHeight="1" spans="1:13">
      <c r="A40" s="11">
        <v>38</v>
      </c>
      <c r="B40" s="11" t="str">
        <f>"15102010123"</f>
        <v>15102010123</v>
      </c>
      <c r="C40" s="16" t="s">
        <v>16</v>
      </c>
      <c r="D40" s="7" t="str">
        <f>"李晨雨"</f>
        <v>李晨雨</v>
      </c>
      <c r="E40" s="17">
        <v>80.69</v>
      </c>
      <c r="F40" s="17">
        <f t="shared" si="0"/>
        <v>48.414</v>
      </c>
      <c r="G40" s="11"/>
      <c r="H40" s="11"/>
      <c r="I40" s="17">
        <f t="shared" si="1"/>
        <v>48.414</v>
      </c>
      <c r="J40" s="17">
        <v>74.6</v>
      </c>
      <c r="K40" s="17">
        <f t="shared" si="4"/>
        <v>29.84</v>
      </c>
      <c r="L40" s="17">
        <f t="shared" si="5"/>
        <v>78.254</v>
      </c>
      <c r="M40" s="11">
        <v>26</v>
      </c>
    </row>
    <row r="41" s="2" customFormat="1" ht="24" customHeight="1" spans="1:13">
      <c r="A41" s="11">
        <v>39</v>
      </c>
      <c r="B41" s="11" t="str">
        <f>"15102010503"</f>
        <v>15102010503</v>
      </c>
      <c r="C41" s="16" t="s">
        <v>16</v>
      </c>
      <c r="D41" s="7" t="str">
        <f>"王慧芳"</f>
        <v>王慧芳</v>
      </c>
      <c r="E41" s="17">
        <v>78.37</v>
      </c>
      <c r="F41" s="17">
        <f t="shared" si="0"/>
        <v>47.022</v>
      </c>
      <c r="G41" s="11"/>
      <c r="H41" s="11"/>
      <c r="I41" s="17">
        <f t="shared" si="1"/>
        <v>47.022</v>
      </c>
      <c r="J41" s="17">
        <v>77.78</v>
      </c>
      <c r="K41" s="17">
        <f t="shared" si="4"/>
        <v>31.112</v>
      </c>
      <c r="L41" s="17">
        <f t="shared" si="5"/>
        <v>78.134</v>
      </c>
      <c r="M41" s="11">
        <v>27</v>
      </c>
    </row>
    <row r="42" s="2" customFormat="1" ht="24" customHeight="1" spans="1:13">
      <c r="A42" s="11">
        <v>40</v>
      </c>
      <c r="B42" s="11" t="str">
        <f>"15102010714"</f>
        <v>15102010714</v>
      </c>
      <c r="C42" s="16" t="s">
        <v>16</v>
      </c>
      <c r="D42" s="7" t="str">
        <f>"张丽"</f>
        <v>张丽</v>
      </c>
      <c r="E42" s="17">
        <v>76.03</v>
      </c>
      <c r="F42" s="17">
        <f t="shared" si="0"/>
        <v>45.618</v>
      </c>
      <c r="G42" s="11"/>
      <c r="H42" s="11"/>
      <c r="I42" s="17">
        <f t="shared" si="1"/>
        <v>45.618</v>
      </c>
      <c r="J42" s="17">
        <v>81.2</v>
      </c>
      <c r="K42" s="17">
        <f t="shared" si="4"/>
        <v>32.48</v>
      </c>
      <c r="L42" s="17">
        <f t="shared" si="5"/>
        <v>78.098</v>
      </c>
      <c r="M42" s="11">
        <v>28</v>
      </c>
    </row>
    <row r="43" s="2" customFormat="1" ht="24" customHeight="1" spans="1:13">
      <c r="A43" s="11">
        <v>41</v>
      </c>
      <c r="B43" s="11" t="str">
        <f>"15102010411"</f>
        <v>15102010411</v>
      </c>
      <c r="C43" s="16" t="s">
        <v>16</v>
      </c>
      <c r="D43" s="7" t="str">
        <f>"徐龙"</f>
        <v>徐龙</v>
      </c>
      <c r="E43" s="17">
        <v>76.34</v>
      </c>
      <c r="F43" s="17">
        <f t="shared" si="0"/>
        <v>45.804</v>
      </c>
      <c r="G43" s="11"/>
      <c r="H43" s="11"/>
      <c r="I43" s="17">
        <f t="shared" si="1"/>
        <v>45.804</v>
      </c>
      <c r="J43" s="17">
        <v>80.18</v>
      </c>
      <c r="K43" s="17">
        <f t="shared" si="4"/>
        <v>32.072</v>
      </c>
      <c r="L43" s="17">
        <f t="shared" si="5"/>
        <v>77.876</v>
      </c>
      <c r="M43" s="11">
        <v>29</v>
      </c>
    </row>
    <row r="44" s="2" customFormat="1" ht="24" customHeight="1" spans="1:13">
      <c r="A44" s="11">
        <v>42</v>
      </c>
      <c r="B44" s="11" t="str">
        <f>"15102010421"</f>
        <v>15102010421</v>
      </c>
      <c r="C44" s="16" t="s">
        <v>16</v>
      </c>
      <c r="D44" s="7" t="str">
        <f>"胡倩"</f>
        <v>胡倩</v>
      </c>
      <c r="E44" s="17">
        <v>79.83</v>
      </c>
      <c r="F44" s="17">
        <f t="shared" si="0"/>
        <v>47.898</v>
      </c>
      <c r="G44" s="11"/>
      <c r="H44" s="11"/>
      <c r="I44" s="17">
        <f t="shared" si="1"/>
        <v>47.898</v>
      </c>
      <c r="J44" s="17">
        <v>74.9</v>
      </c>
      <c r="K44" s="17">
        <f t="shared" si="4"/>
        <v>29.96</v>
      </c>
      <c r="L44" s="17">
        <f t="shared" si="5"/>
        <v>77.858</v>
      </c>
      <c r="M44" s="11">
        <v>30</v>
      </c>
    </row>
    <row r="45" s="2" customFormat="1" ht="24" customHeight="1" spans="1:13">
      <c r="A45" s="11">
        <v>43</v>
      </c>
      <c r="B45" s="11" t="str">
        <f>"15102010127"</f>
        <v>15102010127</v>
      </c>
      <c r="C45" s="16" t="s">
        <v>16</v>
      </c>
      <c r="D45" s="7" t="str">
        <f>"王媛媛"</f>
        <v>王媛媛</v>
      </c>
      <c r="E45" s="17">
        <v>76.25</v>
      </c>
      <c r="F45" s="17">
        <f t="shared" si="0"/>
        <v>45.75</v>
      </c>
      <c r="G45" s="11"/>
      <c r="H45" s="11"/>
      <c r="I45" s="17">
        <f t="shared" si="1"/>
        <v>45.75</v>
      </c>
      <c r="J45" s="17">
        <v>79.84</v>
      </c>
      <c r="K45" s="17">
        <f t="shared" si="4"/>
        <v>31.936</v>
      </c>
      <c r="L45" s="17">
        <f t="shared" si="5"/>
        <v>77.686</v>
      </c>
      <c r="M45" s="11">
        <v>31</v>
      </c>
    </row>
    <row r="46" s="2" customFormat="1" ht="24" customHeight="1" spans="1:13">
      <c r="A46" s="11">
        <v>44</v>
      </c>
      <c r="B46" s="11" t="str">
        <f>"15102010520"</f>
        <v>15102010520</v>
      </c>
      <c r="C46" s="16" t="s">
        <v>16</v>
      </c>
      <c r="D46" s="7" t="str">
        <f>"李鹃"</f>
        <v>李鹃</v>
      </c>
      <c r="E46" s="17">
        <v>71.93</v>
      </c>
      <c r="F46" s="17">
        <f t="shared" si="0"/>
        <v>43.158</v>
      </c>
      <c r="G46" s="11">
        <v>2.5</v>
      </c>
      <c r="H46" s="11"/>
      <c r="I46" s="17">
        <f t="shared" si="1"/>
        <v>45.658</v>
      </c>
      <c r="J46" s="17">
        <v>78.9</v>
      </c>
      <c r="K46" s="17">
        <f t="shared" si="4"/>
        <v>31.56</v>
      </c>
      <c r="L46" s="17">
        <f t="shared" si="5"/>
        <v>77.218</v>
      </c>
      <c r="M46" s="11">
        <v>32</v>
      </c>
    </row>
    <row r="47" s="2" customFormat="1" ht="24" customHeight="1" spans="1:13">
      <c r="A47" s="11">
        <v>45</v>
      </c>
      <c r="B47" s="11" t="str">
        <f>"15102010616"</f>
        <v>15102010616</v>
      </c>
      <c r="C47" s="16" t="s">
        <v>16</v>
      </c>
      <c r="D47" s="7" t="str">
        <f>"贺慧平"</f>
        <v>贺慧平</v>
      </c>
      <c r="E47" s="17">
        <v>76.74</v>
      </c>
      <c r="F47" s="17">
        <f t="shared" si="0"/>
        <v>46.044</v>
      </c>
      <c r="G47" s="11"/>
      <c r="H47" s="11"/>
      <c r="I47" s="17">
        <f t="shared" si="1"/>
        <v>46.044</v>
      </c>
      <c r="J47" s="17">
        <v>77.1</v>
      </c>
      <c r="K47" s="17">
        <f t="shared" si="4"/>
        <v>30.84</v>
      </c>
      <c r="L47" s="17">
        <f t="shared" si="5"/>
        <v>76.884</v>
      </c>
      <c r="M47" s="11">
        <v>33</v>
      </c>
    </row>
    <row r="48" s="2" customFormat="1" ht="24" customHeight="1" spans="1:13">
      <c r="A48" s="11">
        <v>46</v>
      </c>
      <c r="B48" s="11" t="str">
        <f>"15102010510"</f>
        <v>15102010510</v>
      </c>
      <c r="C48" s="16" t="s">
        <v>16</v>
      </c>
      <c r="D48" s="7" t="str">
        <f>"王鑫"</f>
        <v>王鑫</v>
      </c>
      <c r="E48" s="17">
        <v>75.25</v>
      </c>
      <c r="F48" s="17">
        <f t="shared" si="0"/>
        <v>45.15</v>
      </c>
      <c r="G48" s="11"/>
      <c r="H48" s="11"/>
      <c r="I48" s="17">
        <f t="shared" si="1"/>
        <v>45.15</v>
      </c>
      <c r="J48" s="17">
        <v>79.2</v>
      </c>
      <c r="K48" s="17">
        <f t="shared" si="4"/>
        <v>31.68</v>
      </c>
      <c r="L48" s="17">
        <f t="shared" si="5"/>
        <v>76.83</v>
      </c>
      <c r="M48" s="11">
        <v>34</v>
      </c>
    </row>
    <row r="49" s="2" customFormat="1" ht="24" customHeight="1" spans="1:13">
      <c r="A49" s="11">
        <v>47</v>
      </c>
      <c r="B49" s="11" t="str">
        <f>"15102010230"</f>
        <v>15102010230</v>
      </c>
      <c r="C49" s="16" t="s">
        <v>16</v>
      </c>
      <c r="D49" s="7" t="str">
        <f>"吴鑫"</f>
        <v>吴鑫</v>
      </c>
      <c r="E49" s="17">
        <v>77.17</v>
      </c>
      <c r="F49" s="17">
        <f t="shared" si="0"/>
        <v>46.302</v>
      </c>
      <c r="G49" s="11"/>
      <c r="H49" s="11"/>
      <c r="I49" s="17">
        <f t="shared" si="1"/>
        <v>46.302</v>
      </c>
      <c r="J49" s="17">
        <v>76</v>
      </c>
      <c r="K49" s="17">
        <f t="shared" si="4"/>
        <v>30.4</v>
      </c>
      <c r="L49" s="17">
        <f t="shared" si="5"/>
        <v>76.702</v>
      </c>
      <c r="M49" s="11">
        <v>35</v>
      </c>
    </row>
    <row r="50" s="2" customFormat="1" ht="24" customHeight="1" spans="1:13">
      <c r="A50" s="11">
        <v>48</v>
      </c>
      <c r="B50" s="11" t="str">
        <f>"15102010124"</f>
        <v>15102010124</v>
      </c>
      <c r="C50" s="16" t="s">
        <v>16</v>
      </c>
      <c r="D50" s="7" t="str">
        <f>"刘丽"</f>
        <v>刘丽</v>
      </c>
      <c r="E50" s="17">
        <v>76.98</v>
      </c>
      <c r="F50" s="17">
        <f t="shared" si="0"/>
        <v>46.188</v>
      </c>
      <c r="G50" s="11"/>
      <c r="H50" s="11"/>
      <c r="I50" s="17">
        <f t="shared" si="1"/>
        <v>46.188</v>
      </c>
      <c r="J50" s="17">
        <v>75.9</v>
      </c>
      <c r="K50" s="17">
        <f t="shared" si="4"/>
        <v>30.36</v>
      </c>
      <c r="L50" s="17">
        <f t="shared" si="5"/>
        <v>76.548</v>
      </c>
      <c r="M50" s="11">
        <v>36</v>
      </c>
    </row>
    <row r="51" s="2" customFormat="1" ht="24" customHeight="1" spans="1:13">
      <c r="A51" s="11">
        <v>49</v>
      </c>
      <c r="B51" s="11" t="str">
        <f>"15102010402"</f>
        <v>15102010402</v>
      </c>
      <c r="C51" s="16" t="s">
        <v>16</v>
      </c>
      <c r="D51" s="7" t="str">
        <f>"白雪"</f>
        <v>白雪</v>
      </c>
      <c r="E51" s="17">
        <v>76.9</v>
      </c>
      <c r="F51" s="17">
        <f t="shared" si="0"/>
        <v>46.14</v>
      </c>
      <c r="G51" s="11"/>
      <c r="H51" s="11"/>
      <c r="I51" s="17">
        <f t="shared" si="1"/>
        <v>46.14</v>
      </c>
      <c r="J51" s="17">
        <v>76</v>
      </c>
      <c r="K51" s="17">
        <f t="shared" si="4"/>
        <v>30.4</v>
      </c>
      <c r="L51" s="17">
        <f t="shared" si="5"/>
        <v>76.54</v>
      </c>
      <c r="M51" s="11">
        <v>37</v>
      </c>
    </row>
    <row r="52" s="2" customFormat="1" ht="24" customHeight="1" spans="1:13">
      <c r="A52" s="11">
        <v>50</v>
      </c>
      <c r="B52" s="11" t="str">
        <f>"15102010713"</f>
        <v>15102010713</v>
      </c>
      <c r="C52" s="16" t="s">
        <v>16</v>
      </c>
      <c r="D52" s="7" t="str">
        <f>"杨柳"</f>
        <v>杨柳</v>
      </c>
      <c r="E52" s="17">
        <v>77.31</v>
      </c>
      <c r="F52" s="17">
        <f t="shared" si="0"/>
        <v>46.386</v>
      </c>
      <c r="G52" s="11"/>
      <c r="H52" s="11"/>
      <c r="I52" s="17">
        <f t="shared" si="1"/>
        <v>46.386</v>
      </c>
      <c r="J52" s="17">
        <v>73.3</v>
      </c>
      <c r="K52" s="17">
        <f t="shared" si="4"/>
        <v>29.32</v>
      </c>
      <c r="L52" s="17">
        <f t="shared" si="5"/>
        <v>75.706</v>
      </c>
      <c r="M52" s="11">
        <v>38</v>
      </c>
    </row>
    <row r="53" s="2" customFormat="1" ht="24" customHeight="1" spans="1:13">
      <c r="A53" s="11">
        <v>51</v>
      </c>
      <c r="B53" s="11" t="str">
        <f>"15102010203"</f>
        <v>15102010203</v>
      </c>
      <c r="C53" s="16" t="s">
        <v>16</v>
      </c>
      <c r="D53" s="7" t="str">
        <f>"霍星汝"</f>
        <v>霍星汝</v>
      </c>
      <c r="E53" s="17">
        <v>74.7</v>
      </c>
      <c r="F53" s="17">
        <f t="shared" si="0"/>
        <v>44.82</v>
      </c>
      <c r="G53" s="11"/>
      <c r="H53" s="11"/>
      <c r="I53" s="17">
        <f t="shared" si="1"/>
        <v>44.82</v>
      </c>
      <c r="J53" s="17">
        <v>77.04</v>
      </c>
      <c r="K53" s="17">
        <f t="shared" si="4"/>
        <v>30.816</v>
      </c>
      <c r="L53" s="17">
        <f t="shared" si="5"/>
        <v>75.636</v>
      </c>
      <c r="M53" s="11">
        <v>39</v>
      </c>
    </row>
    <row r="54" s="2" customFormat="1" ht="24" customHeight="1" spans="1:13">
      <c r="A54" s="11">
        <v>52</v>
      </c>
      <c r="B54" s="11" t="str">
        <f>"15102010630"</f>
        <v>15102010630</v>
      </c>
      <c r="C54" s="16" t="s">
        <v>16</v>
      </c>
      <c r="D54" s="7" t="str">
        <f>"韩欣悦"</f>
        <v>韩欣悦</v>
      </c>
      <c r="E54" s="17">
        <v>81.78</v>
      </c>
      <c r="F54" s="17">
        <f t="shared" si="0"/>
        <v>49.068</v>
      </c>
      <c r="G54" s="11"/>
      <c r="H54" s="11"/>
      <c r="I54" s="17">
        <f t="shared" si="1"/>
        <v>49.068</v>
      </c>
      <c r="J54" s="17" t="s">
        <v>15</v>
      </c>
      <c r="K54" s="17"/>
      <c r="L54" s="17"/>
      <c r="M54" s="11">
        <v>40</v>
      </c>
    </row>
    <row r="55" s="2" customFormat="1" ht="24" customHeight="1" spans="1:13">
      <c r="A55" s="11">
        <v>53</v>
      </c>
      <c r="B55" s="11" t="str">
        <f>"15102010311"</f>
        <v>15102010311</v>
      </c>
      <c r="C55" s="16" t="s">
        <v>16</v>
      </c>
      <c r="D55" s="7" t="str">
        <f>"崔娜"</f>
        <v>崔娜</v>
      </c>
      <c r="E55" s="17">
        <v>79.94</v>
      </c>
      <c r="F55" s="17">
        <f t="shared" si="0"/>
        <v>47.964</v>
      </c>
      <c r="G55" s="11"/>
      <c r="H55" s="11"/>
      <c r="I55" s="17">
        <f t="shared" si="1"/>
        <v>47.964</v>
      </c>
      <c r="J55" s="17" t="s">
        <v>15</v>
      </c>
      <c r="K55" s="17"/>
      <c r="L55" s="17"/>
      <c r="M55" s="11">
        <v>41</v>
      </c>
    </row>
    <row r="56" s="2" customFormat="1" ht="24" customHeight="1" spans="1:13">
      <c r="A56" s="11">
        <v>54</v>
      </c>
      <c r="B56" s="11" t="str">
        <f>"15102010322"</f>
        <v>15102010322</v>
      </c>
      <c r="C56" s="16" t="s">
        <v>16</v>
      </c>
      <c r="D56" s="7" t="str">
        <f>"张玉"</f>
        <v>张玉</v>
      </c>
      <c r="E56" s="17">
        <v>76.06</v>
      </c>
      <c r="F56" s="17">
        <f t="shared" si="0"/>
        <v>45.636</v>
      </c>
      <c r="G56" s="11"/>
      <c r="H56" s="11"/>
      <c r="I56" s="17">
        <f t="shared" si="1"/>
        <v>45.636</v>
      </c>
      <c r="J56" s="17" t="s">
        <v>15</v>
      </c>
      <c r="K56" s="17"/>
      <c r="L56" s="17"/>
      <c r="M56" s="11">
        <v>42</v>
      </c>
    </row>
    <row r="57" s="2" customFormat="1" ht="24" customHeight="1" spans="1:13">
      <c r="A57" s="11">
        <v>55</v>
      </c>
      <c r="B57" s="11" t="str">
        <f>"15102010612"</f>
        <v>15102010612</v>
      </c>
      <c r="C57" s="16" t="s">
        <v>16</v>
      </c>
      <c r="D57" s="7" t="str">
        <f>"李慧荣"</f>
        <v>李慧荣</v>
      </c>
      <c r="E57" s="17">
        <v>75.6</v>
      </c>
      <c r="F57" s="17">
        <f t="shared" si="0"/>
        <v>45.36</v>
      </c>
      <c r="G57" s="11"/>
      <c r="H57" s="11"/>
      <c r="I57" s="17">
        <f t="shared" si="1"/>
        <v>45.36</v>
      </c>
      <c r="J57" s="17" t="s">
        <v>15</v>
      </c>
      <c r="K57" s="17"/>
      <c r="L57" s="17"/>
      <c r="M57" s="11">
        <v>43</v>
      </c>
    </row>
    <row r="58" s="2" customFormat="1" ht="24" customHeight="1" spans="1:13">
      <c r="A58" s="11">
        <v>56</v>
      </c>
      <c r="B58" s="11" t="str">
        <f>"15102010529"</f>
        <v>15102010529</v>
      </c>
      <c r="C58" s="16" t="s">
        <v>16</v>
      </c>
      <c r="D58" s="7" t="str">
        <f>"孙屹潇"</f>
        <v>孙屹潇</v>
      </c>
      <c r="E58" s="17">
        <v>74.71</v>
      </c>
      <c r="F58" s="17">
        <f t="shared" si="0"/>
        <v>44.826</v>
      </c>
      <c r="G58" s="11"/>
      <c r="H58" s="11"/>
      <c r="I58" s="17">
        <f t="shared" si="1"/>
        <v>44.826</v>
      </c>
      <c r="J58" s="17" t="s">
        <v>15</v>
      </c>
      <c r="K58" s="17"/>
      <c r="L58" s="17"/>
      <c r="M58" s="11">
        <v>44</v>
      </c>
    </row>
    <row r="59" s="2" customFormat="1" ht="24" customHeight="1" spans="1:13">
      <c r="A59" s="11">
        <v>57</v>
      </c>
      <c r="B59" s="12" t="str">
        <f>"15103011008"</f>
        <v>15103011008</v>
      </c>
      <c r="C59" s="13" t="s">
        <v>17</v>
      </c>
      <c r="D59" s="14" t="str">
        <f>"闫皓"</f>
        <v>闫皓</v>
      </c>
      <c r="E59" s="15">
        <v>81.71</v>
      </c>
      <c r="F59" s="15">
        <f t="shared" si="0"/>
        <v>49.026</v>
      </c>
      <c r="G59" s="12"/>
      <c r="H59" s="12"/>
      <c r="I59" s="15">
        <f t="shared" si="1"/>
        <v>49.026</v>
      </c>
      <c r="J59" s="15">
        <v>80.2</v>
      </c>
      <c r="K59" s="15">
        <f t="shared" ref="K59:K122" si="6">J59*0.4</f>
        <v>32.08</v>
      </c>
      <c r="L59" s="15">
        <f t="shared" ref="L59:L122" si="7">K59+I59</f>
        <v>81.106</v>
      </c>
      <c r="M59" s="12">
        <v>1</v>
      </c>
    </row>
    <row r="60" s="2" customFormat="1" ht="24" customHeight="1" spans="1:13">
      <c r="A60" s="11">
        <v>58</v>
      </c>
      <c r="B60" s="12" t="str">
        <f>"15103011002"</f>
        <v>15103011002</v>
      </c>
      <c r="C60" s="13" t="s">
        <v>17</v>
      </c>
      <c r="D60" s="14" t="str">
        <f>"高媛"</f>
        <v>高媛</v>
      </c>
      <c r="E60" s="15">
        <v>74.3</v>
      </c>
      <c r="F60" s="15">
        <f t="shared" si="0"/>
        <v>44.58</v>
      </c>
      <c r="G60" s="12"/>
      <c r="H60" s="12"/>
      <c r="I60" s="15">
        <f t="shared" si="1"/>
        <v>44.58</v>
      </c>
      <c r="J60" s="15">
        <v>79.6</v>
      </c>
      <c r="K60" s="15">
        <f t="shared" si="6"/>
        <v>31.84</v>
      </c>
      <c r="L60" s="15">
        <f t="shared" si="7"/>
        <v>76.42</v>
      </c>
      <c r="M60" s="12">
        <v>2</v>
      </c>
    </row>
    <row r="61" s="2" customFormat="1" ht="24" customHeight="1" spans="1:13">
      <c r="A61" s="11">
        <v>59</v>
      </c>
      <c r="B61" s="12" t="str">
        <f>"15103011009"</f>
        <v>15103011009</v>
      </c>
      <c r="C61" s="13" t="s">
        <v>17</v>
      </c>
      <c r="D61" s="14" t="str">
        <f>"王雅琦"</f>
        <v>王雅琦</v>
      </c>
      <c r="E61" s="15">
        <v>74.89</v>
      </c>
      <c r="F61" s="15">
        <f t="shared" si="0"/>
        <v>44.934</v>
      </c>
      <c r="G61" s="12"/>
      <c r="H61" s="12"/>
      <c r="I61" s="15">
        <f t="shared" si="1"/>
        <v>44.934</v>
      </c>
      <c r="J61" s="15">
        <v>77.4</v>
      </c>
      <c r="K61" s="15">
        <f t="shared" si="6"/>
        <v>30.96</v>
      </c>
      <c r="L61" s="15">
        <f t="shared" si="7"/>
        <v>75.894</v>
      </c>
      <c r="M61" s="12">
        <v>3</v>
      </c>
    </row>
    <row r="62" s="2" customFormat="1" ht="24" customHeight="1" spans="1:13">
      <c r="A62" s="11">
        <v>60</v>
      </c>
      <c r="B62" s="11" t="str">
        <f>"15103011016"</f>
        <v>15103011016</v>
      </c>
      <c r="C62" s="16" t="s">
        <v>17</v>
      </c>
      <c r="D62" s="7" t="str">
        <f>"马睿"</f>
        <v>马睿</v>
      </c>
      <c r="E62" s="17">
        <v>76.07</v>
      </c>
      <c r="F62" s="17">
        <f t="shared" si="0"/>
        <v>45.642</v>
      </c>
      <c r="G62" s="11"/>
      <c r="H62" s="11"/>
      <c r="I62" s="17">
        <f t="shared" si="1"/>
        <v>45.642</v>
      </c>
      <c r="J62" s="17">
        <v>74.4</v>
      </c>
      <c r="K62" s="17">
        <f t="shared" si="6"/>
        <v>29.76</v>
      </c>
      <c r="L62" s="17">
        <f t="shared" si="7"/>
        <v>75.402</v>
      </c>
      <c r="M62" s="11">
        <v>4</v>
      </c>
    </row>
    <row r="63" s="2" customFormat="1" ht="24" customHeight="1" spans="1:13">
      <c r="A63" s="11">
        <v>61</v>
      </c>
      <c r="B63" s="11" t="str">
        <f>"15103011011"</f>
        <v>15103011011</v>
      </c>
      <c r="C63" s="16" t="s">
        <v>17</v>
      </c>
      <c r="D63" s="7" t="str">
        <f>"李桃"</f>
        <v>李桃</v>
      </c>
      <c r="E63" s="17">
        <v>75.88</v>
      </c>
      <c r="F63" s="17">
        <f t="shared" si="0"/>
        <v>45.528</v>
      </c>
      <c r="G63" s="11"/>
      <c r="H63" s="11"/>
      <c r="I63" s="17">
        <f t="shared" si="1"/>
        <v>45.528</v>
      </c>
      <c r="J63" s="17">
        <v>72.7</v>
      </c>
      <c r="K63" s="17">
        <f t="shared" si="6"/>
        <v>29.08</v>
      </c>
      <c r="L63" s="17">
        <f t="shared" si="7"/>
        <v>74.608</v>
      </c>
      <c r="M63" s="11">
        <v>5</v>
      </c>
    </row>
    <row r="64" s="2" customFormat="1" ht="24" customHeight="1" spans="1:13">
      <c r="A64" s="11">
        <v>62</v>
      </c>
      <c r="B64" s="11" t="str">
        <f>"15103011015"</f>
        <v>15103011015</v>
      </c>
      <c r="C64" s="16" t="s">
        <v>17</v>
      </c>
      <c r="D64" s="7" t="str">
        <f>"郭元元"</f>
        <v>郭元元</v>
      </c>
      <c r="E64" s="17">
        <v>71.94</v>
      </c>
      <c r="F64" s="17">
        <f t="shared" si="0"/>
        <v>43.164</v>
      </c>
      <c r="G64" s="11"/>
      <c r="H64" s="11"/>
      <c r="I64" s="17">
        <f t="shared" si="1"/>
        <v>43.164</v>
      </c>
      <c r="J64" s="17">
        <v>77.4</v>
      </c>
      <c r="K64" s="17">
        <f t="shared" si="6"/>
        <v>30.96</v>
      </c>
      <c r="L64" s="17">
        <f t="shared" si="7"/>
        <v>74.124</v>
      </c>
      <c r="M64" s="11">
        <v>6</v>
      </c>
    </row>
    <row r="65" s="2" customFormat="1" ht="24" customHeight="1" spans="1:13">
      <c r="A65" s="11">
        <v>63</v>
      </c>
      <c r="B65" s="11" t="str">
        <f>"15103011017"</f>
        <v>15103011017</v>
      </c>
      <c r="C65" s="16" t="s">
        <v>17</v>
      </c>
      <c r="D65" s="7" t="str">
        <f>"李毅"</f>
        <v>李毅</v>
      </c>
      <c r="E65" s="17">
        <v>61.89</v>
      </c>
      <c r="F65" s="17">
        <f t="shared" si="0"/>
        <v>37.134</v>
      </c>
      <c r="G65" s="11"/>
      <c r="H65" s="11"/>
      <c r="I65" s="17">
        <f t="shared" si="1"/>
        <v>37.134</v>
      </c>
      <c r="J65" s="17">
        <v>85.4</v>
      </c>
      <c r="K65" s="17">
        <f t="shared" si="6"/>
        <v>34.16</v>
      </c>
      <c r="L65" s="17">
        <f t="shared" si="7"/>
        <v>71.294</v>
      </c>
      <c r="M65" s="11">
        <v>7</v>
      </c>
    </row>
    <row r="66" s="2" customFormat="1" ht="24" customHeight="1" spans="1:13">
      <c r="A66" s="11">
        <v>64</v>
      </c>
      <c r="B66" s="11" t="str">
        <f>"15103011003"</f>
        <v>15103011003</v>
      </c>
      <c r="C66" s="16" t="s">
        <v>17</v>
      </c>
      <c r="D66" s="7" t="str">
        <f>"李嘉辉"</f>
        <v>李嘉辉</v>
      </c>
      <c r="E66" s="17">
        <v>70.1</v>
      </c>
      <c r="F66" s="17">
        <f t="shared" si="0"/>
        <v>42.06</v>
      </c>
      <c r="G66" s="11"/>
      <c r="H66" s="11"/>
      <c r="I66" s="17">
        <f t="shared" si="1"/>
        <v>42.06</v>
      </c>
      <c r="J66" s="17">
        <v>72.8</v>
      </c>
      <c r="K66" s="17">
        <f t="shared" si="6"/>
        <v>29.12</v>
      </c>
      <c r="L66" s="17">
        <f t="shared" si="7"/>
        <v>71.18</v>
      </c>
      <c r="M66" s="11">
        <v>8</v>
      </c>
    </row>
    <row r="67" s="2" customFormat="1" ht="24" customHeight="1" spans="1:13">
      <c r="A67" s="11">
        <v>65</v>
      </c>
      <c r="B67" s="11" t="str">
        <f>"15103011019"</f>
        <v>15103011019</v>
      </c>
      <c r="C67" s="16" t="s">
        <v>17</v>
      </c>
      <c r="D67" s="7" t="str">
        <f>"王羿权"</f>
        <v>王羿权</v>
      </c>
      <c r="E67" s="17">
        <v>66.81</v>
      </c>
      <c r="F67" s="17">
        <f t="shared" ref="F67:F130" si="8">E67*0.6</f>
        <v>40.086</v>
      </c>
      <c r="G67" s="11"/>
      <c r="H67" s="11"/>
      <c r="I67" s="17">
        <f t="shared" ref="I67:I127" si="9">SUM(F67:H67)</f>
        <v>40.086</v>
      </c>
      <c r="J67" s="17">
        <v>67.6</v>
      </c>
      <c r="K67" s="17">
        <f t="shared" si="6"/>
        <v>27.04</v>
      </c>
      <c r="L67" s="17">
        <f t="shared" si="7"/>
        <v>67.126</v>
      </c>
      <c r="M67" s="11">
        <v>9</v>
      </c>
    </row>
    <row r="68" s="2" customFormat="1" ht="24" customHeight="1" spans="1:13">
      <c r="A68" s="11">
        <v>66</v>
      </c>
      <c r="B68" s="12" t="str">
        <f>"15104011111"</f>
        <v>15104011111</v>
      </c>
      <c r="C68" s="13" t="s">
        <v>18</v>
      </c>
      <c r="D68" s="14" t="str">
        <f>"刘媛"</f>
        <v>刘媛</v>
      </c>
      <c r="E68" s="15">
        <v>82.33</v>
      </c>
      <c r="F68" s="15">
        <f t="shared" si="8"/>
        <v>49.398</v>
      </c>
      <c r="G68" s="12"/>
      <c r="H68" s="12"/>
      <c r="I68" s="15">
        <f t="shared" si="9"/>
        <v>49.398</v>
      </c>
      <c r="J68" s="15">
        <v>86.7</v>
      </c>
      <c r="K68" s="15">
        <f t="shared" si="6"/>
        <v>34.68</v>
      </c>
      <c r="L68" s="15">
        <f t="shared" si="7"/>
        <v>84.078</v>
      </c>
      <c r="M68" s="12">
        <v>1</v>
      </c>
    </row>
    <row r="69" s="2" customFormat="1" ht="24" customHeight="1" spans="1:13">
      <c r="A69" s="11">
        <v>67</v>
      </c>
      <c r="B69" s="12" t="str">
        <f>"15104011127"</f>
        <v>15104011127</v>
      </c>
      <c r="C69" s="13" t="s">
        <v>18</v>
      </c>
      <c r="D69" s="14" t="str">
        <f>"薛钢"</f>
        <v>薛钢</v>
      </c>
      <c r="E69" s="15">
        <v>78.46</v>
      </c>
      <c r="F69" s="15">
        <f t="shared" si="8"/>
        <v>47.076</v>
      </c>
      <c r="G69" s="12"/>
      <c r="H69" s="12"/>
      <c r="I69" s="15">
        <f t="shared" si="9"/>
        <v>47.076</v>
      </c>
      <c r="J69" s="15">
        <v>87.1</v>
      </c>
      <c r="K69" s="15">
        <f t="shared" si="6"/>
        <v>34.84</v>
      </c>
      <c r="L69" s="15">
        <f t="shared" si="7"/>
        <v>81.916</v>
      </c>
      <c r="M69" s="12">
        <v>2</v>
      </c>
    </row>
    <row r="70" s="2" customFormat="1" ht="24" customHeight="1" spans="1:13">
      <c r="A70" s="11">
        <v>68</v>
      </c>
      <c r="B70" s="12" t="str">
        <f>"15104011021"</f>
        <v>15104011021</v>
      </c>
      <c r="C70" s="13" t="s">
        <v>18</v>
      </c>
      <c r="D70" s="14" t="str">
        <f>"乔雨"</f>
        <v>乔雨</v>
      </c>
      <c r="E70" s="15">
        <v>76.92</v>
      </c>
      <c r="F70" s="15">
        <f t="shared" si="8"/>
        <v>46.152</v>
      </c>
      <c r="G70" s="12"/>
      <c r="H70" s="12"/>
      <c r="I70" s="15">
        <f t="shared" si="9"/>
        <v>46.152</v>
      </c>
      <c r="J70" s="15">
        <v>87.66</v>
      </c>
      <c r="K70" s="15">
        <f t="shared" si="6"/>
        <v>35.064</v>
      </c>
      <c r="L70" s="15">
        <f t="shared" si="7"/>
        <v>81.216</v>
      </c>
      <c r="M70" s="12">
        <v>3</v>
      </c>
    </row>
    <row r="71" s="2" customFormat="1" ht="24" customHeight="1" spans="1:13">
      <c r="A71" s="11">
        <v>69</v>
      </c>
      <c r="B71" s="12" t="str">
        <f>"15104011120"</f>
        <v>15104011120</v>
      </c>
      <c r="C71" s="13" t="s">
        <v>18</v>
      </c>
      <c r="D71" s="14" t="str">
        <f>"李嘉惠"</f>
        <v>李嘉惠</v>
      </c>
      <c r="E71" s="15">
        <v>71.11</v>
      </c>
      <c r="F71" s="15">
        <f t="shared" si="8"/>
        <v>42.666</v>
      </c>
      <c r="G71" s="12"/>
      <c r="H71" s="12"/>
      <c r="I71" s="15">
        <f t="shared" si="9"/>
        <v>42.666</v>
      </c>
      <c r="J71" s="15">
        <v>89.82</v>
      </c>
      <c r="K71" s="15">
        <f t="shared" si="6"/>
        <v>35.928</v>
      </c>
      <c r="L71" s="15">
        <f t="shared" si="7"/>
        <v>78.594</v>
      </c>
      <c r="M71" s="12">
        <v>4</v>
      </c>
    </row>
    <row r="72" s="2" customFormat="1" ht="24" customHeight="1" spans="1:13">
      <c r="A72" s="11">
        <v>70</v>
      </c>
      <c r="B72" s="12" t="str">
        <f>"15104011112"</f>
        <v>15104011112</v>
      </c>
      <c r="C72" s="13" t="s">
        <v>18</v>
      </c>
      <c r="D72" s="14" t="str">
        <f>"任丽芬"</f>
        <v>任丽芬</v>
      </c>
      <c r="E72" s="15">
        <v>73.13</v>
      </c>
      <c r="F72" s="15">
        <f t="shared" si="8"/>
        <v>43.878</v>
      </c>
      <c r="G72" s="12"/>
      <c r="H72" s="12"/>
      <c r="I72" s="15">
        <f t="shared" si="9"/>
        <v>43.878</v>
      </c>
      <c r="J72" s="15">
        <v>82.1</v>
      </c>
      <c r="K72" s="15">
        <f t="shared" si="6"/>
        <v>32.84</v>
      </c>
      <c r="L72" s="15">
        <f t="shared" si="7"/>
        <v>76.718</v>
      </c>
      <c r="M72" s="12">
        <v>5</v>
      </c>
    </row>
    <row r="73" s="2" customFormat="1" ht="24" customHeight="1" spans="1:13">
      <c r="A73" s="11">
        <v>71</v>
      </c>
      <c r="B73" s="12" t="str">
        <f>"15104011128"</f>
        <v>15104011128</v>
      </c>
      <c r="C73" s="13" t="s">
        <v>18</v>
      </c>
      <c r="D73" s="14" t="str">
        <f>"任忠"</f>
        <v>任忠</v>
      </c>
      <c r="E73" s="15">
        <v>71.85</v>
      </c>
      <c r="F73" s="15">
        <f t="shared" si="8"/>
        <v>43.11</v>
      </c>
      <c r="G73" s="12"/>
      <c r="H73" s="12"/>
      <c r="I73" s="15">
        <f t="shared" si="9"/>
        <v>43.11</v>
      </c>
      <c r="J73" s="15">
        <v>83.3</v>
      </c>
      <c r="K73" s="15">
        <f t="shared" si="6"/>
        <v>33.32</v>
      </c>
      <c r="L73" s="15">
        <f t="shared" si="7"/>
        <v>76.43</v>
      </c>
      <c r="M73" s="12">
        <v>6</v>
      </c>
    </row>
    <row r="74" s="2" customFormat="1" ht="24" customHeight="1" spans="1:13">
      <c r="A74" s="11">
        <v>72</v>
      </c>
      <c r="B74" s="12" t="str">
        <f>"15104011025"</f>
        <v>15104011025</v>
      </c>
      <c r="C74" s="13" t="s">
        <v>18</v>
      </c>
      <c r="D74" s="14" t="str">
        <f>"金鑫"</f>
        <v>金鑫</v>
      </c>
      <c r="E74" s="15">
        <v>70.3</v>
      </c>
      <c r="F74" s="15">
        <f t="shared" si="8"/>
        <v>42.18</v>
      </c>
      <c r="G74" s="12"/>
      <c r="H74" s="12"/>
      <c r="I74" s="15">
        <f t="shared" si="9"/>
        <v>42.18</v>
      </c>
      <c r="J74" s="15">
        <v>76.4</v>
      </c>
      <c r="K74" s="15">
        <f t="shared" si="6"/>
        <v>30.56</v>
      </c>
      <c r="L74" s="15">
        <f t="shared" si="7"/>
        <v>72.74</v>
      </c>
      <c r="M74" s="12">
        <v>7</v>
      </c>
    </row>
    <row r="75" s="2" customFormat="1" ht="24" customHeight="1" spans="1:13">
      <c r="A75" s="11">
        <v>73</v>
      </c>
      <c r="B75" s="11" t="str">
        <f>"15104011027"</f>
        <v>15104011027</v>
      </c>
      <c r="C75" s="16" t="s">
        <v>18</v>
      </c>
      <c r="D75" s="7" t="str">
        <f>"刘强"</f>
        <v>刘强</v>
      </c>
      <c r="E75" s="17">
        <v>71.23</v>
      </c>
      <c r="F75" s="17">
        <f t="shared" si="8"/>
        <v>42.738</v>
      </c>
      <c r="G75" s="11"/>
      <c r="H75" s="11"/>
      <c r="I75" s="17">
        <f t="shared" si="9"/>
        <v>42.738</v>
      </c>
      <c r="J75" s="17">
        <v>74.8</v>
      </c>
      <c r="K75" s="17">
        <f t="shared" si="6"/>
        <v>29.92</v>
      </c>
      <c r="L75" s="17">
        <f t="shared" si="7"/>
        <v>72.658</v>
      </c>
      <c r="M75" s="11">
        <v>8</v>
      </c>
    </row>
    <row r="76" s="2" customFormat="1" ht="24" customHeight="1" spans="1:13">
      <c r="A76" s="11">
        <v>74</v>
      </c>
      <c r="B76" s="11" t="str">
        <f>"15104011030"</f>
        <v>15104011030</v>
      </c>
      <c r="C76" s="16" t="s">
        <v>18</v>
      </c>
      <c r="D76" s="7" t="str">
        <f>"郭佳"</f>
        <v>郭佳</v>
      </c>
      <c r="E76" s="17">
        <v>63.92</v>
      </c>
      <c r="F76" s="17">
        <f t="shared" si="8"/>
        <v>38.352</v>
      </c>
      <c r="G76" s="11"/>
      <c r="H76" s="11"/>
      <c r="I76" s="17">
        <f t="shared" si="9"/>
        <v>38.352</v>
      </c>
      <c r="J76" s="17">
        <v>84.6</v>
      </c>
      <c r="K76" s="17">
        <f t="shared" si="6"/>
        <v>33.84</v>
      </c>
      <c r="L76" s="17">
        <f t="shared" si="7"/>
        <v>72.192</v>
      </c>
      <c r="M76" s="11">
        <v>9</v>
      </c>
    </row>
    <row r="77" s="2" customFormat="1" ht="24" customHeight="1" spans="1:13">
      <c r="A77" s="11">
        <v>75</v>
      </c>
      <c r="B77" s="11" t="str">
        <f>"15104011129"</f>
        <v>15104011129</v>
      </c>
      <c r="C77" s="16" t="s">
        <v>18</v>
      </c>
      <c r="D77" s="7" t="str">
        <f>"李艺萱"</f>
        <v>李艺萱</v>
      </c>
      <c r="E77" s="17">
        <v>63.05</v>
      </c>
      <c r="F77" s="17">
        <f t="shared" si="8"/>
        <v>37.83</v>
      </c>
      <c r="G77" s="11"/>
      <c r="H77" s="11"/>
      <c r="I77" s="17">
        <f t="shared" si="9"/>
        <v>37.83</v>
      </c>
      <c r="J77" s="17">
        <v>85.52</v>
      </c>
      <c r="K77" s="17">
        <f t="shared" si="6"/>
        <v>34.208</v>
      </c>
      <c r="L77" s="17">
        <f t="shared" si="7"/>
        <v>72.038</v>
      </c>
      <c r="M77" s="11">
        <v>10</v>
      </c>
    </row>
    <row r="78" s="2" customFormat="1" ht="24" customHeight="1" spans="1:13">
      <c r="A78" s="11">
        <v>76</v>
      </c>
      <c r="B78" s="11" t="str">
        <f>"15104011123"</f>
        <v>15104011123</v>
      </c>
      <c r="C78" s="16" t="s">
        <v>18</v>
      </c>
      <c r="D78" s="7" t="str">
        <f>"许诺"</f>
        <v>许诺</v>
      </c>
      <c r="E78" s="17">
        <v>58.84</v>
      </c>
      <c r="F78" s="17">
        <f t="shared" si="8"/>
        <v>35.304</v>
      </c>
      <c r="G78" s="11"/>
      <c r="H78" s="11"/>
      <c r="I78" s="17">
        <f t="shared" si="9"/>
        <v>35.304</v>
      </c>
      <c r="J78" s="17">
        <v>83.88</v>
      </c>
      <c r="K78" s="17">
        <f t="shared" si="6"/>
        <v>33.552</v>
      </c>
      <c r="L78" s="17">
        <f t="shared" si="7"/>
        <v>68.856</v>
      </c>
      <c r="M78" s="11">
        <v>11</v>
      </c>
    </row>
    <row r="79" s="2" customFormat="1" ht="24" customHeight="1" spans="1:13">
      <c r="A79" s="11">
        <v>77</v>
      </c>
      <c r="B79" s="11" t="str">
        <f>"15104011109"</f>
        <v>15104011109</v>
      </c>
      <c r="C79" s="16" t="s">
        <v>18</v>
      </c>
      <c r="D79" s="7" t="str">
        <f>"白文慧"</f>
        <v>白文慧</v>
      </c>
      <c r="E79" s="17">
        <v>62.47</v>
      </c>
      <c r="F79" s="17">
        <f t="shared" si="8"/>
        <v>37.482</v>
      </c>
      <c r="G79" s="11"/>
      <c r="H79" s="11"/>
      <c r="I79" s="17">
        <f t="shared" si="9"/>
        <v>37.482</v>
      </c>
      <c r="J79" s="17">
        <v>76.2</v>
      </c>
      <c r="K79" s="17">
        <f t="shared" si="6"/>
        <v>30.48</v>
      </c>
      <c r="L79" s="17">
        <f t="shared" si="7"/>
        <v>67.962</v>
      </c>
      <c r="M79" s="11">
        <v>12</v>
      </c>
    </row>
    <row r="80" s="2" customFormat="1" ht="24" customHeight="1" spans="1:13">
      <c r="A80" s="11">
        <v>78</v>
      </c>
      <c r="B80" s="11" t="str">
        <f>"15104011114"</f>
        <v>15104011114</v>
      </c>
      <c r="C80" s="16" t="s">
        <v>18</v>
      </c>
      <c r="D80" s="7" t="str">
        <f>"马月"</f>
        <v>马月</v>
      </c>
      <c r="E80" s="17">
        <v>59.8</v>
      </c>
      <c r="F80" s="17">
        <f t="shared" si="8"/>
        <v>35.88</v>
      </c>
      <c r="G80" s="11"/>
      <c r="H80" s="11"/>
      <c r="I80" s="17">
        <f t="shared" si="9"/>
        <v>35.88</v>
      </c>
      <c r="J80" s="17">
        <v>77.84</v>
      </c>
      <c r="K80" s="17">
        <f t="shared" si="6"/>
        <v>31.136</v>
      </c>
      <c r="L80" s="17">
        <f t="shared" si="7"/>
        <v>67.016</v>
      </c>
      <c r="M80" s="11">
        <v>13</v>
      </c>
    </row>
    <row r="81" s="2" customFormat="1" ht="24" customHeight="1" spans="1:13">
      <c r="A81" s="11">
        <v>79</v>
      </c>
      <c r="B81" s="11" t="str">
        <f>"15104011103"</f>
        <v>15104011103</v>
      </c>
      <c r="C81" s="16" t="s">
        <v>18</v>
      </c>
      <c r="D81" s="7" t="str">
        <f>"连娜"</f>
        <v>连娜</v>
      </c>
      <c r="E81" s="17">
        <v>57.79</v>
      </c>
      <c r="F81" s="17">
        <f t="shared" si="8"/>
        <v>34.674</v>
      </c>
      <c r="G81" s="11">
        <v>2.5</v>
      </c>
      <c r="H81" s="11"/>
      <c r="I81" s="17">
        <f t="shared" si="9"/>
        <v>37.174</v>
      </c>
      <c r="J81" s="17">
        <v>73.8</v>
      </c>
      <c r="K81" s="17">
        <f t="shared" si="6"/>
        <v>29.52</v>
      </c>
      <c r="L81" s="17">
        <f t="shared" si="7"/>
        <v>66.694</v>
      </c>
      <c r="M81" s="11">
        <v>14</v>
      </c>
    </row>
    <row r="82" ht="24" customHeight="1" spans="1:13">
      <c r="A82" s="11">
        <v>80</v>
      </c>
      <c r="B82" s="12" t="str">
        <f>"15105011205"</f>
        <v>15105011205</v>
      </c>
      <c r="C82" s="13" t="s">
        <v>19</v>
      </c>
      <c r="D82" s="14" t="str">
        <f>"牛璐"</f>
        <v>牛璐</v>
      </c>
      <c r="E82" s="15">
        <v>80.3</v>
      </c>
      <c r="F82" s="15">
        <f t="shared" si="8"/>
        <v>48.18</v>
      </c>
      <c r="G82" s="12"/>
      <c r="H82" s="12"/>
      <c r="I82" s="15">
        <f t="shared" si="9"/>
        <v>48.18</v>
      </c>
      <c r="J82" s="15">
        <v>88.2</v>
      </c>
      <c r="K82" s="15">
        <f t="shared" si="6"/>
        <v>35.28</v>
      </c>
      <c r="L82" s="15">
        <f t="shared" si="7"/>
        <v>83.46</v>
      </c>
      <c r="M82" s="12">
        <v>1</v>
      </c>
    </row>
    <row r="83" ht="24" customHeight="1" spans="1:13">
      <c r="A83" s="11">
        <v>81</v>
      </c>
      <c r="B83" s="11" t="str">
        <f>"15105011208"</f>
        <v>15105011208</v>
      </c>
      <c r="C83" s="16" t="s">
        <v>19</v>
      </c>
      <c r="D83" s="7" t="str">
        <f>"李金凤"</f>
        <v>李金凤</v>
      </c>
      <c r="E83" s="17">
        <v>80.28</v>
      </c>
      <c r="F83" s="17">
        <f t="shared" si="8"/>
        <v>48.168</v>
      </c>
      <c r="G83" s="11"/>
      <c r="H83" s="11"/>
      <c r="I83" s="17">
        <f t="shared" si="9"/>
        <v>48.168</v>
      </c>
      <c r="J83" s="17">
        <v>80</v>
      </c>
      <c r="K83" s="17">
        <f t="shared" si="6"/>
        <v>32</v>
      </c>
      <c r="L83" s="17">
        <f t="shared" si="7"/>
        <v>80.168</v>
      </c>
      <c r="M83" s="11">
        <v>2</v>
      </c>
    </row>
    <row r="84" ht="24" customHeight="1" spans="1:13">
      <c r="A84" s="11">
        <v>82</v>
      </c>
      <c r="B84" s="11" t="str">
        <f>"15105011213"</f>
        <v>15105011213</v>
      </c>
      <c r="C84" s="16" t="s">
        <v>19</v>
      </c>
      <c r="D84" s="7" t="str">
        <f>"袁锋"</f>
        <v>袁锋</v>
      </c>
      <c r="E84" s="17">
        <v>81.22</v>
      </c>
      <c r="F84" s="17">
        <f t="shared" si="8"/>
        <v>48.732</v>
      </c>
      <c r="G84" s="11"/>
      <c r="H84" s="11"/>
      <c r="I84" s="17">
        <f t="shared" si="9"/>
        <v>48.732</v>
      </c>
      <c r="J84" s="17">
        <v>76</v>
      </c>
      <c r="K84" s="17">
        <f t="shared" si="6"/>
        <v>30.4</v>
      </c>
      <c r="L84" s="17">
        <f t="shared" si="7"/>
        <v>79.132</v>
      </c>
      <c r="M84" s="11">
        <v>3</v>
      </c>
    </row>
    <row r="85" ht="24" customHeight="1" spans="1:13">
      <c r="A85" s="11">
        <v>83</v>
      </c>
      <c r="B85" s="12" t="str">
        <f>"15106011408"</f>
        <v>15106011408</v>
      </c>
      <c r="C85" s="13" t="s">
        <v>20</v>
      </c>
      <c r="D85" s="14" t="str">
        <f>"杨雨"</f>
        <v>杨雨</v>
      </c>
      <c r="E85" s="15">
        <v>86.26</v>
      </c>
      <c r="F85" s="15">
        <f t="shared" si="8"/>
        <v>51.756</v>
      </c>
      <c r="G85" s="12"/>
      <c r="H85" s="12"/>
      <c r="I85" s="15">
        <f t="shared" si="9"/>
        <v>51.756</v>
      </c>
      <c r="J85" s="15">
        <v>83</v>
      </c>
      <c r="K85" s="15">
        <f t="shared" si="6"/>
        <v>33.2</v>
      </c>
      <c r="L85" s="15">
        <f t="shared" si="7"/>
        <v>84.956</v>
      </c>
      <c r="M85" s="12">
        <v>1</v>
      </c>
    </row>
    <row r="86" ht="24" customHeight="1" spans="1:13">
      <c r="A86" s="11">
        <v>84</v>
      </c>
      <c r="B86" s="12" t="str">
        <f>"15106011513"</f>
        <v>15106011513</v>
      </c>
      <c r="C86" s="13" t="s">
        <v>20</v>
      </c>
      <c r="D86" s="14" t="str">
        <f>"苏婷婷"</f>
        <v>苏婷婷</v>
      </c>
      <c r="E86" s="15">
        <v>82.14</v>
      </c>
      <c r="F86" s="15">
        <f t="shared" si="8"/>
        <v>49.284</v>
      </c>
      <c r="G86" s="12"/>
      <c r="H86" s="12"/>
      <c r="I86" s="15">
        <f t="shared" si="9"/>
        <v>49.284</v>
      </c>
      <c r="J86" s="15">
        <v>88</v>
      </c>
      <c r="K86" s="15">
        <f t="shared" si="6"/>
        <v>35.2</v>
      </c>
      <c r="L86" s="15">
        <f t="shared" si="7"/>
        <v>84.484</v>
      </c>
      <c r="M86" s="12">
        <v>2</v>
      </c>
    </row>
    <row r="87" ht="24" customHeight="1" spans="1:13">
      <c r="A87" s="11">
        <v>85</v>
      </c>
      <c r="B87" s="11" t="str">
        <f>"15106011425"</f>
        <v>15106011425</v>
      </c>
      <c r="C87" s="16" t="s">
        <v>20</v>
      </c>
      <c r="D87" s="7" t="str">
        <f>"党雅鑫"</f>
        <v>党雅鑫</v>
      </c>
      <c r="E87" s="17">
        <v>80.1</v>
      </c>
      <c r="F87" s="17">
        <f t="shared" si="8"/>
        <v>48.06</v>
      </c>
      <c r="G87" s="11"/>
      <c r="H87" s="11"/>
      <c r="I87" s="17">
        <f t="shared" si="9"/>
        <v>48.06</v>
      </c>
      <c r="J87" s="17">
        <v>85</v>
      </c>
      <c r="K87" s="17">
        <f t="shared" si="6"/>
        <v>34</v>
      </c>
      <c r="L87" s="17">
        <f t="shared" si="7"/>
        <v>82.06</v>
      </c>
      <c r="M87" s="11">
        <v>3</v>
      </c>
    </row>
    <row r="88" ht="24" customHeight="1" spans="1:13">
      <c r="A88" s="11">
        <v>86</v>
      </c>
      <c r="B88" s="11" t="str">
        <f>"15106011611"</f>
        <v>15106011611</v>
      </c>
      <c r="C88" s="16" t="s">
        <v>20</v>
      </c>
      <c r="D88" s="7" t="str">
        <f>"乌日恒"</f>
        <v>乌日恒</v>
      </c>
      <c r="E88" s="17">
        <v>79.5</v>
      </c>
      <c r="F88" s="17">
        <f t="shared" si="8"/>
        <v>47.7</v>
      </c>
      <c r="G88" s="11">
        <v>2.5</v>
      </c>
      <c r="H88" s="11"/>
      <c r="I88" s="17">
        <f t="shared" si="9"/>
        <v>50.2</v>
      </c>
      <c r="J88" s="17">
        <v>78.8</v>
      </c>
      <c r="K88" s="17">
        <f t="shared" si="6"/>
        <v>31.52</v>
      </c>
      <c r="L88" s="17">
        <f t="shared" si="7"/>
        <v>81.72</v>
      </c>
      <c r="M88" s="11">
        <v>4</v>
      </c>
    </row>
    <row r="89" ht="24" customHeight="1" spans="1:13">
      <c r="A89" s="11">
        <v>87</v>
      </c>
      <c r="B89" s="11" t="str">
        <f>"15106011422"</f>
        <v>15106011422</v>
      </c>
      <c r="C89" s="16" t="s">
        <v>20</v>
      </c>
      <c r="D89" s="7" t="str">
        <f>"李欣艳"</f>
        <v>李欣艳</v>
      </c>
      <c r="E89" s="17">
        <v>83</v>
      </c>
      <c r="F89" s="17">
        <f t="shared" si="8"/>
        <v>49.8</v>
      </c>
      <c r="G89" s="11"/>
      <c r="H89" s="11"/>
      <c r="I89" s="17">
        <f t="shared" si="9"/>
        <v>49.8</v>
      </c>
      <c r="J89" s="17">
        <v>77.6</v>
      </c>
      <c r="K89" s="17">
        <f t="shared" si="6"/>
        <v>31.04</v>
      </c>
      <c r="L89" s="17">
        <f t="shared" si="7"/>
        <v>80.84</v>
      </c>
      <c r="M89" s="11">
        <v>5</v>
      </c>
    </row>
    <row r="90" ht="24" customHeight="1" spans="1:13">
      <c r="A90" s="11">
        <v>88</v>
      </c>
      <c r="B90" s="11" t="str">
        <f>"15106011420"</f>
        <v>15106011420</v>
      </c>
      <c r="C90" s="16" t="s">
        <v>20</v>
      </c>
      <c r="D90" s="7" t="str">
        <f>"潘芸"</f>
        <v>潘芸</v>
      </c>
      <c r="E90" s="17">
        <v>81.9</v>
      </c>
      <c r="F90" s="17">
        <f t="shared" si="8"/>
        <v>49.14</v>
      </c>
      <c r="G90" s="11"/>
      <c r="H90" s="11"/>
      <c r="I90" s="17">
        <f t="shared" si="9"/>
        <v>49.14</v>
      </c>
      <c r="J90" s="17">
        <v>73.2</v>
      </c>
      <c r="K90" s="17">
        <f t="shared" si="6"/>
        <v>29.28</v>
      </c>
      <c r="L90" s="17">
        <f t="shared" si="7"/>
        <v>78.42</v>
      </c>
      <c r="M90" s="11">
        <v>6</v>
      </c>
    </row>
    <row r="91" s="2" customFormat="1" ht="24" customHeight="1" spans="1:13">
      <c r="A91" s="11">
        <v>89</v>
      </c>
      <c r="B91" s="12" t="str">
        <f>"15107012015"</f>
        <v>15107012015</v>
      </c>
      <c r="C91" s="13" t="s">
        <v>21</v>
      </c>
      <c r="D91" s="14" t="str">
        <f>"王静"</f>
        <v>王静</v>
      </c>
      <c r="E91" s="15">
        <v>76.84</v>
      </c>
      <c r="F91" s="15">
        <f t="shared" si="8"/>
        <v>46.104</v>
      </c>
      <c r="G91" s="12"/>
      <c r="H91" s="12"/>
      <c r="I91" s="15">
        <f t="shared" si="9"/>
        <v>46.104</v>
      </c>
      <c r="J91" s="15">
        <v>86.4</v>
      </c>
      <c r="K91" s="15">
        <f t="shared" si="6"/>
        <v>34.56</v>
      </c>
      <c r="L91" s="15">
        <f t="shared" si="7"/>
        <v>80.664</v>
      </c>
      <c r="M91" s="12">
        <v>1</v>
      </c>
    </row>
    <row r="92" s="2" customFormat="1" ht="24" customHeight="1" spans="1:13">
      <c r="A92" s="11">
        <v>90</v>
      </c>
      <c r="B92" s="11" t="str">
        <f>"15107012116"</f>
        <v>15107012116</v>
      </c>
      <c r="C92" s="16" t="s">
        <v>21</v>
      </c>
      <c r="D92" s="7" t="str">
        <f>"苗帅"</f>
        <v>苗帅</v>
      </c>
      <c r="E92" s="17">
        <v>78.83</v>
      </c>
      <c r="F92" s="17">
        <f t="shared" si="8"/>
        <v>47.298</v>
      </c>
      <c r="G92" s="11"/>
      <c r="H92" s="11"/>
      <c r="I92" s="17">
        <f t="shared" si="9"/>
        <v>47.298</v>
      </c>
      <c r="J92" s="17">
        <v>82.16</v>
      </c>
      <c r="K92" s="17">
        <f t="shared" si="6"/>
        <v>32.864</v>
      </c>
      <c r="L92" s="17">
        <f t="shared" si="7"/>
        <v>80.162</v>
      </c>
      <c r="M92" s="11">
        <v>2</v>
      </c>
    </row>
    <row r="93" s="2" customFormat="1" ht="24" customHeight="1" spans="1:13">
      <c r="A93" s="11">
        <v>91</v>
      </c>
      <c r="B93" s="11" t="str">
        <f>"15107012027"</f>
        <v>15107012027</v>
      </c>
      <c r="C93" s="16" t="s">
        <v>21</v>
      </c>
      <c r="D93" s="7" t="str">
        <f>"贺丹"</f>
        <v>贺丹</v>
      </c>
      <c r="E93" s="17">
        <v>72.18</v>
      </c>
      <c r="F93" s="17">
        <f t="shared" si="8"/>
        <v>43.308</v>
      </c>
      <c r="G93" s="11"/>
      <c r="H93" s="11"/>
      <c r="I93" s="17">
        <f t="shared" si="9"/>
        <v>43.308</v>
      </c>
      <c r="J93" s="17">
        <v>84.74</v>
      </c>
      <c r="K93" s="17">
        <f t="shared" si="6"/>
        <v>33.896</v>
      </c>
      <c r="L93" s="17">
        <f t="shared" si="7"/>
        <v>77.204</v>
      </c>
      <c r="M93" s="11">
        <v>3</v>
      </c>
    </row>
    <row r="94" s="2" customFormat="1" ht="24" customHeight="1" spans="1:13">
      <c r="A94" s="11">
        <v>92</v>
      </c>
      <c r="B94" s="12" t="str">
        <f>"15108012521"</f>
        <v>15108012521</v>
      </c>
      <c r="C94" s="13" t="s">
        <v>22</v>
      </c>
      <c r="D94" s="14" t="str">
        <f>"奇娜"</f>
        <v>奇娜</v>
      </c>
      <c r="E94" s="15">
        <v>75.2</v>
      </c>
      <c r="F94" s="15">
        <f t="shared" si="8"/>
        <v>45.12</v>
      </c>
      <c r="G94" s="12">
        <v>2.5</v>
      </c>
      <c r="H94" s="12"/>
      <c r="I94" s="15">
        <f t="shared" si="9"/>
        <v>47.62</v>
      </c>
      <c r="J94" s="15">
        <v>84.2</v>
      </c>
      <c r="K94" s="15">
        <f t="shared" si="6"/>
        <v>33.68</v>
      </c>
      <c r="L94" s="15">
        <f t="shared" si="7"/>
        <v>81.3</v>
      </c>
      <c r="M94" s="12">
        <v>1</v>
      </c>
    </row>
    <row r="95" s="2" customFormat="1" ht="24" customHeight="1" spans="1:13">
      <c r="A95" s="11">
        <v>93</v>
      </c>
      <c r="B95" s="11" t="str">
        <f>"15108012520"</f>
        <v>15108012520</v>
      </c>
      <c r="C95" s="16" t="s">
        <v>22</v>
      </c>
      <c r="D95" s="7" t="str">
        <f>"邵珍"</f>
        <v>邵珍</v>
      </c>
      <c r="E95" s="17">
        <v>83.09</v>
      </c>
      <c r="F95" s="17">
        <f t="shared" si="8"/>
        <v>49.854</v>
      </c>
      <c r="G95" s="11"/>
      <c r="H95" s="11"/>
      <c r="I95" s="17">
        <f t="shared" si="9"/>
        <v>49.854</v>
      </c>
      <c r="J95" s="17">
        <v>76</v>
      </c>
      <c r="K95" s="17">
        <f t="shared" si="6"/>
        <v>30.4</v>
      </c>
      <c r="L95" s="17">
        <f t="shared" si="7"/>
        <v>80.254</v>
      </c>
      <c r="M95" s="11">
        <v>2</v>
      </c>
    </row>
    <row r="96" s="2" customFormat="1" ht="24" customHeight="1" spans="1:13">
      <c r="A96" s="11">
        <v>94</v>
      </c>
      <c r="B96" s="11" t="str">
        <f>"15108012525"</f>
        <v>15108012525</v>
      </c>
      <c r="C96" s="16" t="s">
        <v>22</v>
      </c>
      <c r="D96" s="7" t="str">
        <f>"刘丽娟"</f>
        <v>刘丽娟</v>
      </c>
      <c r="E96" s="17">
        <v>79.72</v>
      </c>
      <c r="F96" s="17">
        <f t="shared" si="8"/>
        <v>47.832</v>
      </c>
      <c r="G96" s="11"/>
      <c r="H96" s="11"/>
      <c r="I96" s="17">
        <f t="shared" si="9"/>
        <v>47.832</v>
      </c>
      <c r="J96" s="17">
        <v>80.8</v>
      </c>
      <c r="K96" s="17">
        <f t="shared" si="6"/>
        <v>32.32</v>
      </c>
      <c r="L96" s="17">
        <f t="shared" si="7"/>
        <v>80.152</v>
      </c>
      <c r="M96" s="11">
        <v>3</v>
      </c>
    </row>
    <row r="97" s="2" customFormat="1" ht="24" customHeight="1" spans="1:13">
      <c r="A97" s="11">
        <v>95</v>
      </c>
      <c r="B97" s="12" t="str">
        <f>"15109010920"</f>
        <v>15109010920</v>
      </c>
      <c r="C97" s="13" t="s">
        <v>23</v>
      </c>
      <c r="D97" s="14" t="str">
        <f>"李婧"</f>
        <v>李婧</v>
      </c>
      <c r="E97" s="15">
        <v>81.17</v>
      </c>
      <c r="F97" s="15">
        <f t="shared" si="8"/>
        <v>48.702</v>
      </c>
      <c r="G97" s="12"/>
      <c r="H97" s="12"/>
      <c r="I97" s="15">
        <f t="shared" si="9"/>
        <v>48.702</v>
      </c>
      <c r="J97" s="15">
        <v>85.2</v>
      </c>
      <c r="K97" s="15">
        <f t="shared" si="6"/>
        <v>34.08</v>
      </c>
      <c r="L97" s="15">
        <f t="shared" si="7"/>
        <v>82.782</v>
      </c>
      <c r="M97" s="12">
        <v>1</v>
      </c>
    </row>
    <row r="98" s="2" customFormat="1" ht="24" customHeight="1" spans="1:13">
      <c r="A98" s="11">
        <v>96</v>
      </c>
      <c r="B98" s="11" t="str">
        <f>"15109010914"</f>
        <v>15109010914</v>
      </c>
      <c r="C98" s="16" t="s">
        <v>23</v>
      </c>
      <c r="D98" s="7" t="str">
        <f>"刘志杰"</f>
        <v>刘志杰</v>
      </c>
      <c r="E98" s="17">
        <v>78.08</v>
      </c>
      <c r="F98" s="17">
        <f t="shared" si="8"/>
        <v>46.848</v>
      </c>
      <c r="G98" s="11"/>
      <c r="H98" s="11"/>
      <c r="I98" s="17">
        <f t="shared" si="9"/>
        <v>46.848</v>
      </c>
      <c r="J98" s="17">
        <v>83.4</v>
      </c>
      <c r="K98" s="17">
        <f t="shared" si="6"/>
        <v>33.36</v>
      </c>
      <c r="L98" s="17">
        <f t="shared" si="7"/>
        <v>80.208</v>
      </c>
      <c r="M98" s="11">
        <v>2</v>
      </c>
    </row>
    <row r="99" s="2" customFormat="1" ht="24" customHeight="1" spans="1:13">
      <c r="A99" s="11">
        <v>97</v>
      </c>
      <c r="B99" s="11" t="str">
        <f>"15109010918"</f>
        <v>15109010918</v>
      </c>
      <c r="C99" s="16" t="s">
        <v>23</v>
      </c>
      <c r="D99" s="7" t="str">
        <f>"张浩东"</f>
        <v>张浩东</v>
      </c>
      <c r="E99" s="17">
        <v>78.62</v>
      </c>
      <c r="F99" s="17">
        <f t="shared" si="8"/>
        <v>47.172</v>
      </c>
      <c r="G99" s="11"/>
      <c r="H99" s="11"/>
      <c r="I99" s="17">
        <f t="shared" si="9"/>
        <v>47.172</v>
      </c>
      <c r="J99" s="17">
        <v>75.8</v>
      </c>
      <c r="K99" s="17">
        <f t="shared" si="6"/>
        <v>30.32</v>
      </c>
      <c r="L99" s="17">
        <f t="shared" si="7"/>
        <v>77.492</v>
      </c>
      <c r="M99" s="11">
        <v>3</v>
      </c>
    </row>
    <row r="100" s="2" customFormat="1" ht="24" customHeight="1" spans="1:13">
      <c r="A100" s="11">
        <v>98</v>
      </c>
      <c r="B100" s="12" t="str">
        <f>"15110012804"</f>
        <v>15110012804</v>
      </c>
      <c r="C100" s="13" t="s">
        <v>24</v>
      </c>
      <c r="D100" s="14" t="str">
        <f>"杨洁琼"</f>
        <v>杨洁琼</v>
      </c>
      <c r="E100" s="15">
        <v>76.44</v>
      </c>
      <c r="F100" s="15">
        <f t="shared" si="8"/>
        <v>45.864</v>
      </c>
      <c r="G100" s="12"/>
      <c r="H100" s="12"/>
      <c r="I100" s="15">
        <f t="shared" si="9"/>
        <v>45.864</v>
      </c>
      <c r="J100" s="15">
        <v>74.8</v>
      </c>
      <c r="K100" s="15">
        <f t="shared" si="6"/>
        <v>29.92</v>
      </c>
      <c r="L100" s="15">
        <f t="shared" si="7"/>
        <v>75.784</v>
      </c>
      <c r="M100" s="12">
        <v>1</v>
      </c>
    </row>
    <row r="101" s="2" customFormat="1" ht="24" customHeight="1" spans="1:13">
      <c r="A101" s="11">
        <v>99</v>
      </c>
      <c r="B101" s="11" t="str">
        <f>"15110012818"</f>
        <v>15110012818</v>
      </c>
      <c r="C101" s="16" t="s">
        <v>24</v>
      </c>
      <c r="D101" s="7" t="str">
        <f>"马争"</f>
        <v>马争</v>
      </c>
      <c r="E101" s="17">
        <v>70.82</v>
      </c>
      <c r="F101" s="17">
        <f t="shared" si="8"/>
        <v>42.492</v>
      </c>
      <c r="G101" s="11"/>
      <c r="H101" s="11"/>
      <c r="I101" s="17">
        <f t="shared" si="9"/>
        <v>42.492</v>
      </c>
      <c r="J101" s="17">
        <v>81.4</v>
      </c>
      <c r="K101" s="17">
        <f t="shared" si="6"/>
        <v>32.56</v>
      </c>
      <c r="L101" s="17">
        <f t="shared" si="7"/>
        <v>75.052</v>
      </c>
      <c r="M101" s="11">
        <v>2</v>
      </c>
    </row>
    <row r="102" s="2" customFormat="1" ht="24" customHeight="1" spans="1:13">
      <c r="A102" s="11">
        <v>100</v>
      </c>
      <c r="B102" s="11" t="str">
        <f>"15110012810"</f>
        <v>15110012810</v>
      </c>
      <c r="C102" s="16" t="s">
        <v>24</v>
      </c>
      <c r="D102" s="7" t="str">
        <f>"边晶晶"</f>
        <v>边晶晶</v>
      </c>
      <c r="E102" s="17">
        <v>73.98</v>
      </c>
      <c r="F102" s="17">
        <f t="shared" si="8"/>
        <v>44.388</v>
      </c>
      <c r="G102" s="11"/>
      <c r="H102" s="11"/>
      <c r="I102" s="17">
        <f t="shared" si="9"/>
        <v>44.388</v>
      </c>
      <c r="J102" s="17">
        <v>71</v>
      </c>
      <c r="K102" s="17">
        <f t="shared" si="6"/>
        <v>28.4</v>
      </c>
      <c r="L102" s="17">
        <f t="shared" si="7"/>
        <v>72.788</v>
      </c>
      <c r="M102" s="11">
        <v>3</v>
      </c>
    </row>
    <row r="103" s="2" customFormat="1" ht="24" customHeight="1" spans="1:13">
      <c r="A103" s="11">
        <v>101</v>
      </c>
      <c r="B103" s="12" t="s">
        <v>25</v>
      </c>
      <c r="C103" s="13" t="s">
        <v>26</v>
      </c>
      <c r="D103" s="14" t="s">
        <v>27</v>
      </c>
      <c r="E103" s="12">
        <v>82.44</v>
      </c>
      <c r="F103" s="15">
        <f t="shared" si="8"/>
        <v>49.464</v>
      </c>
      <c r="G103" s="12">
        <v>2.5</v>
      </c>
      <c r="H103" s="12"/>
      <c r="I103" s="15">
        <f t="shared" si="9"/>
        <v>51.964</v>
      </c>
      <c r="J103" s="15">
        <v>77.8</v>
      </c>
      <c r="K103" s="15">
        <f t="shared" si="6"/>
        <v>31.12</v>
      </c>
      <c r="L103" s="15">
        <f t="shared" si="7"/>
        <v>83.084</v>
      </c>
      <c r="M103" s="12">
        <v>1</v>
      </c>
    </row>
    <row r="104" s="2" customFormat="1" ht="24" customHeight="1" spans="1:13">
      <c r="A104" s="11">
        <v>102</v>
      </c>
      <c r="B104" s="20" t="s">
        <v>28</v>
      </c>
      <c r="C104" s="21" t="s">
        <v>26</v>
      </c>
      <c r="D104" s="22" t="s">
        <v>29</v>
      </c>
      <c r="E104" s="20">
        <v>84.2</v>
      </c>
      <c r="F104" s="23">
        <f t="shared" si="8"/>
        <v>50.52</v>
      </c>
      <c r="G104" s="20"/>
      <c r="H104" s="20"/>
      <c r="I104" s="17">
        <f t="shared" si="9"/>
        <v>50.52</v>
      </c>
      <c r="J104" s="17">
        <v>80.2</v>
      </c>
      <c r="K104" s="17">
        <f t="shared" si="6"/>
        <v>32.08</v>
      </c>
      <c r="L104" s="17">
        <f t="shared" si="7"/>
        <v>82.6</v>
      </c>
      <c r="M104" s="11">
        <v>2</v>
      </c>
    </row>
    <row r="105" s="2" customFormat="1" ht="24" customHeight="1" spans="1:13">
      <c r="A105" s="11">
        <v>103</v>
      </c>
      <c r="B105" s="20" t="s">
        <v>30</v>
      </c>
      <c r="C105" s="21" t="s">
        <v>26</v>
      </c>
      <c r="D105" s="22" t="s">
        <v>31</v>
      </c>
      <c r="E105" s="20">
        <v>85.8</v>
      </c>
      <c r="F105" s="23">
        <f t="shared" si="8"/>
        <v>51.48</v>
      </c>
      <c r="G105" s="20"/>
      <c r="H105" s="20"/>
      <c r="I105" s="17">
        <f t="shared" si="9"/>
        <v>51.48</v>
      </c>
      <c r="J105" s="17">
        <v>69</v>
      </c>
      <c r="K105" s="17">
        <f t="shared" si="6"/>
        <v>27.6</v>
      </c>
      <c r="L105" s="17">
        <f t="shared" si="7"/>
        <v>79.08</v>
      </c>
      <c r="M105" s="11">
        <v>3</v>
      </c>
    </row>
    <row r="106" s="2" customFormat="1" ht="24" customHeight="1" spans="1:13">
      <c r="A106" s="11">
        <v>104</v>
      </c>
      <c r="B106" s="12" t="s">
        <v>32</v>
      </c>
      <c r="C106" s="13" t="s">
        <v>33</v>
      </c>
      <c r="D106" s="14" t="s">
        <v>34</v>
      </c>
      <c r="E106" s="12">
        <v>83.36</v>
      </c>
      <c r="F106" s="15">
        <f t="shared" si="8"/>
        <v>50.016</v>
      </c>
      <c r="G106" s="12"/>
      <c r="H106" s="12"/>
      <c r="I106" s="15">
        <f t="shared" si="9"/>
        <v>50.016</v>
      </c>
      <c r="J106" s="15">
        <v>75.2</v>
      </c>
      <c r="K106" s="15">
        <f t="shared" si="6"/>
        <v>30.08</v>
      </c>
      <c r="L106" s="15">
        <f t="shared" si="7"/>
        <v>80.096</v>
      </c>
      <c r="M106" s="12">
        <v>1</v>
      </c>
    </row>
    <row r="107" s="2" customFormat="1" ht="24" customHeight="1" spans="1:13">
      <c r="A107" s="11">
        <v>105</v>
      </c>
      <c r="B107" s="20" t="s">
        <v>35</v>
      </c>
      <c r="C107" s="21" t="s">
        <v>33</v>
      </c>
      <c r="D107" s="22" t="s">
        <v>36</v>
      </c>
      <c r="E107" s="20">
        <v>83.2</v>
      </c>
      <c r="F107" s="23">
        <f t="shared" si="8"/>
        <v>49.92</v>
      </c>
      <c r="G107" s="20"/>
      <c r="H107" s="20"/>
      <c r="I107" s="17">
        <f t="shared" si="9"/>
        <v>49.92</v>
      </c>
      <c r="J107" s="17">
        <v>72.4</v>
      </c>
      <c r="K107" s="17">
        <f t="shared" si="6"/>
        <v>28.96</v>
      </c>
      <c r="L107" s="17">
        <f t="shared" si="7"/>
        <v>78.88</v>
      </c>
      <c r="M107" s="11">
        <v>2</v>
      </c>
    </row>
    <row r="108" s="2" customFormat="1" ht="24" customHeight="1" spans="1:13">
      <c r="A108" s="11">
        <v>106</v>
      </c>
      <c r="B108" s="20" t="s">
        <v>37</v>
      </c>
      <c r="C108" s="21" t="s">
        <v>33</v>
      </c>
      <c r="D108" s="22" t="s">
        <v>38</v>
      </c>
      <c r="E108" s="20">
        <v>80.92</v>
      </c>
      <c r="F108" s="23">
        <f t="shared" si="8"/>
        <v>48.552</v>
      </c>
      <c r="G108" s="20"/>
      <c r="H108" s="20"/>
      <c r="I108" s="17">
        <f t="shared" si="9"/>
        <v>48.552</v>
      </c>
      <c r="J108" s="17">
        <v>74.8</v>
      </c>
      <c r="K108" s="17">
        <f t="shared" si="6"/>
        <v>29.92</v>
      </c>
      <c r="L108" s="17">
        <f t="shared" si="7"/>
        <v>78.472</v>
      </c>
      <c r="M108" s="24">
        <v>3</v>
      </c>
    </row>
    <row r="109" s="2" customFormat="1" ht="24" customHeight="1" spans="1:13">
      <c r="A109" s="11">
        <v>107</v>
      </c>
      <c r="B109" s="12" t="str">
        <f>"15113013618"</f>
        <v>15113013618</v>
      </c>
      <c r="C109" s="13" t="s">
        <v>39</v>
      </c>
      <c r="D109" s="14" t="str">
        <f>"周瑜"</f>
        <v>周瑜</v>
      </c>
      <c r="E109" s="15">
        <v>79.56</v>
      </c>
      <c r="F109" s="15">
        <f t="shared" si="8"/>
        <v>47.736</v>
      </c>
      <c r="G109" s="12"/>
      <c r="H109" s="12"/>
      <c r="I109" s="15">
        <f t="shared" si="9"/>
        <v>47.736</v>
      </c>
      <c r="J109" s="15">
        <v>76.17</v>
      </c>
      <c r="K109" s="15">
        <f t="shared" si="6"/>
        <v>30.468</v>
      </c>
      <c r="L109" s="15">
        <f t="shared" si="7"/>
        <v>78.204</v>
      </c>
      <c r="M109" s="12">
        <v>1</v>
      </c>
    </row>
    <row r="110" s="2" customFormat="1" ht="24" customHeight="1" spans="1:13">
      <c r="A110" s="11">
        <v>108</v>
      </c>
      <c r="B110" s="11" t="str">
        <f>"15113013617"</f>
        <v>15113013617</v>
      </c>
      <c r="C110" s="16" t="s">
        <v>39</v>
      </c>
      <c r="D110" s="7" t="str">
        <f>"贺普春"</f>
        <v>贺普春</v>
      </c>
      <c r="E110" s="17">
        <v>74.12</v>
      </c>
      <c r="F110" s="17">
        <f t="shared" si="8"/>
        <v>44.472</v>
      </c>
      <c r="G110" s="11">
        <v>2.5</v>
      </c>
      <c r="H110" s="11"/>
      <c r="I110" s="17">
        <f t="shared" si="9"/>
        <v>46.972</v>
      </c>
      <c r="J110" s="17">
        <v>77.01</v>
      </c>
      <c r="K110" s="17">
        <f t="shared" si="6"/>
        <v>30.804</v>
      </c>
      <c r="L110" s="17">
        <f t="shared" si="7"/>
        <v>77.776</v>
      </c>
      <c r="M110" s="11">
        <v>2</v>
      </c>
    </row>
    <row r="111" s="2" customFormat="1" ht="24" customHeight="1" spans="1:13">
      <c r="A111" s="11">
        <v>109</v>
      </c>
      <c r="B111" s="11" t="str">
        <f>"15113013601"</f>
        <v>15113013601</v>
      </c>
      <c r="C111" s="16" t="s">
        <v>39</v>
      </c>
      <c r="D111" s="7" t="str">
        <f>"孙科"</f>
        <v>孙科</v>
      </c>
      <c r="E111" s="17">
        <v>78.56</v>
      </c>
      <c r="F111" s="17">
        <f t="shared" si="8"/>
        <v>47.136</v>
      </c>
      <c r="G111" s="11"/>
      <c r="H111" s="11"/>
      <c r="I111" s="17">
        <f t="shared" si="9"/>
        <v>47.136</v>
      </c>
      <c r="J111" s="17">
        <v>58.58</v>
      </c>
      <c r="K111" s="17">
        <f t="shared" si="6"/>
        <v>23.432</v>
      </c>
      <c r="L111" s="17">
        <f t="shared" si="7"/>
        <v>70.568</v>
      </c>
      <c r="M111" s="11">
        <v>3</v>
      </c>
    </row>
    <row r="112" s="2" customFormat="1" ht="24" customHeight="1" spans="1:13">
      <c r="A112" s="11">
        <v>110</v>
      </c>
      <c r="B112" s="12" t="str">
        <f>"15114013703"</f>
        <v>15114013703</v>
      </c>
      <c r="C112" s="13" t="s">
        <v>40</v>
      </c>
      <c r="D112" s="14" t="str">
        <f>"刘保乐"</f>
        <v>刘保乐</v>
      </c>
      <c r="E112" s="15">
        <v>80.68</v>
      </c>
      <c r="F112" s="15">
        <f t="shared" si="8"/>
        <v>48.408</v>
      </c>
      <c r="G112" s="12"/>
      <c r="H112" s="12"/>
      <c r="I112" s="15">
        <f t="shared" si="9"/>
        <v>48.408</v>
      </c>
      <c r="J112" s="15">
        <v>76.98</v>
      </c>
      <c r="K112" s="15">
        <f t="shared" si="6"/>
        <v>30.792</v>
      </c>
      <c r="L112" s="15">
        <f t="shared" si="7"/>
        <v>79.2</v>
      </c>
      <c r="M112" s="12">
        <v>1</v>
      </c>
    </row>
    <row r="113" s="2" customFormat="1" ht="24" customHeight="1" spans="1:13">
      <c r="A113" s="11">
        <v>111</v>
      </c>
      <c r="B113" s="12" t="str">
        <f>"15114013708"</f>
        <v>15114013708</v>
      </c>
      <c r="C113" s="13" t="s">
        <v>40</v>
      </c>
      <c r="D113" s="14" t="str">
        <f>"石杨"</f>
        <v>石杨</v>
      </c>
      <c r="E113" s="15">
        <v>74.2</v>
      </c>
      <c r="F113" s="15">
        <f t="shared" si="8"/>
        <v>44.52</v>
      </c>
      <c r="G113" s="12">
        <v>2.5</v>
      </c>
      <c r="H113" s="12"/>
      <c r="I113" s="15">
        <f t="shared" si="9"/>
        <v>47.02</v>
      </c>
      <c r="J113" s="15">
        <v>77.33</v>
      </c>
      <c r="K113" s="15">
        <f t="shared" si="6"/>
        <v>30.932</v>
      </c>
      <c r="L113" s="15">
        <f t="shared" si="7"/>
        <v>77.952</v>
      </c>
      <c r="M113" s="12">
        <v>2</v>
      </c>
    </row>
    <row r="114" s="2" customFormat="1" ht="24" customHeight="1" spans="1:13">
      <c r="A114" s="11">
        <v>112</v>
      </c>
      <c r="B114" s="11" t="str">
        <f>"15114013821"</f>
        <v>15114013821</v>
      </c>
      <c r="C114" s="16" t="s">
        <v>40</v>
      </c>
      <c r="D114" s="7" t="str">
        <f>"肖文越"</f>
        <v>肖文越</v>
      </c>
      <c r="E114" s="17">
        <v>82.52</v>
      </c>
      <c r="F114" s="17">
        <f t="shared" si="8"/>
        <v>49.512</v>
      </c>
      <c r="G114" s="11"/>
      <c r="H114" s="11"/>
      <c r="I114" s="17">
        <f t="shared" si="9"/>
        <v>49.512</v>
      </c>
      <c r="J114" s="17">
        <v>68.2</v>
      </c>
      <c r="K114" s="17">
        <f t="shared" si="6"/>
        <v>27.28</v>
      </c>
      <c r="L114" s="17">
        <f t="shared" si="7"/>
        <v>76.792</v>
      </c>
      <c r="M114" s="11">
        <v>3</v>
      </c>
    </row>
    <row r="115" s="2" customFormat="1" ht="24" customHeight="1" spans="1:13">
      <c r="A115" s="11">
        <v>113</v>
      </c>
      <c r="B115" s="11" t="str">
        <f>"15114013815"</f>
        <v>15114013815</v>
      </c>
      <c r="C115" s="16" t="s">
        <v>40</v>
      </c>
      <c r="D115" s="7" t="str">
        <f>"刘文英"</f>
        <v>刘文英</v>
      </c>
      <c r="E115" s="17">
        <v>82.68</v>
      </c>
      <c r="F115" s="17">
        <f t="shared" si="8"/>
        <v>49.608</v>
      </c>
      <c r="G115" s="11"/>
      <c r="H115" s="11"/>
      <c r="I115" s="17">
        <f t="shared" si="9"/>
        <v>49.608</v>
      </c>
      <c r="J115" s="17">
        <v>67.85</v>
      </c>
      <c r="K115" s="17">
        <f t="shared" si="6"/>
        <v>27.14</v>
      </c>
      <c r="L115" s="17">
        <f t="shared" si="7"/>
        <v>76.748</v>
      </c>
      <c r="M115" s="11">
        <v>4</v>
      </c>
    </row>
    <row r="116" s="2" customFormat="1" ht="24" customHeight="1" spans="1:13">
      <c r="A116" s="11">
        <v>114</v>
      </c>
      <c r="B116" s="11" t="str">
        <f>"15114013810"</f>
        <v>15114013810</v>
      </c>
      <c r="C116" s="16" t="s">
        <v>40</v>
      </c>
      <c r="D116" s="7" t="str">
        <f>"赵雨蓉"</f>
        <v>赵雨蓉</v>
      </c>
      <c r="E116" s="17">
        <v>77.64</v>
      </c>
      <c r="F116" s="17">
        <f t="shared" si="8"/>
        <v>46.584</v>
      </c>
      <c r="G116" s="11"/>
      <c r="H116" s="11"/>
      <c r="I116" s="17">
        <f t="shared" si="9"/>
        <v>46.584</v>
      </c>
      <c r="J116" s="17">
        <v>69.62</v>
      </c>
      <c r="K116" s="17">
        <f t="shared" si="6"/>
        <v>27.848</v>
      </c>
      <c r="L116" s="17">
        <f t="shared" si="7"/>
        <v>74.432</v>
      </c>
      <c r="M116" s="11">
        <v>5</v>
      </c>
    </row>
    <row r="117" s="2" customFormat="1" ht="24" customHeight="1" spans="1:13">
      <c r="A117" s="11">
        <v>115</v>
      </c>
      <c r="B117" s="11" t="str">
        <f>"15114013719"</f>
        <v>15114013719</v>
      </c>
      <c r="C117" s="16" t="s">
        <v>40</v>
      </c>
      <c r="D117" s="7" t="str">
        <f>"杨昊东"</f>
        <v>杨昊东</v>
      </c>
      <c r="E117" s="17">
        <v>77.64</v>
      </c>
      <c r="F117" s="17">
        <f t="shared" si="8"/>
        <v>46.584</v>
      </c>
      <c r="G117" s="11"/>
      <c r="H117" s="11"/>
      <c r="I117" s="17">
        <f t="shared" si="9"/>
        <v>46.584</v>
      </c>
      <c r="J117" s="17">
        <v>69.02</v>
      </c>
      <c r="K117" s="17">
        <f t="shared" si="6"/>
        <v>27.608</v>
      </c>
      <c r="L117" s="17">
        <f t="shared" si="7"/>
        <v>74.192</v>
      </c>
      <c r="M117" s="11">
        <v>6</v>
      </c>
    </row>
    <row r="118" s="2" customFormat="1" ht="24" customHeight="1" spans="1:13">
      <c r="A118" s="11">
        <v>116</v>
      </c>
      <c r="B118" s="11" t="str">
        <f>"15114013925"</f>
        <v>15114013925</v>
      </c>
      <c r="C118" s="16" t="s">
        <v>40</v>
      </c>
      <c r="D118" s="7" t="str">
        <f>"王旭"</f>
        <v>王旭</v>
      </c>
      <c r="E118" s="17">
        <v>82.44</v>
      </c>
      <c r="F118" s="17">
        <f t="shared" si="8"/>
        <v>49.464</v>
      </c>
      <c r="G118" s="11"/>
      <c r="H118" s="11"/>
      <c r="I118" s="17">
        <f t="shared" si="9"/>
        <v>49.464</v>
      </c>
      <c r="J118" s="17">
        <v>54.13</v>
      </c>
      <c r="K118" s="17">
        <f t="shared" si="6"/>
        <v>21.652</v>
      </c>
      <c r="L118" s="17">
        <f t="shared" si="7"/>
        <v>71.116</v>
      </c>
      <c r="M118" s="11">
        <v>7</v>
      </c>
    </row>
    <row r="119" s="2" customFormat="1" ht="24" customHeight="1" spans="1:13">
      <c r="A119" s="11">
        <v>117</v>
      </c>
      <c r="B119" s="12" t="str">
        <f>"15115013020"</f>
        <v>15115013020</v>
      </c>
      <c r="C119" s="13" t="s">
        <v>41</v>
      </c>
      <c r="D119" s="14" t="str">
        <f>"郝艺"</f>
        <v>郝艺</v>
      </c>
      <c r="E119" s="15">
        <v>89.24</v>
      </c>
      <c r="F119" s="15">
        <f t="shared" si="8"/>
        <v>53.544</v>
      </c>
      <c r="G119" s="12"/>
      <c r="H119" s="12"/>
      <c r="I119" s="15">
        <f t="shared" si="9"/>
        <v>53.544</v>
      </c>
      <c r="J119" s="15">
        <v>78.2</v>
      </c>
      <c r="K119" s="15">
        <f t="shared" si="6"/>
        <v>31.28</v>
      </c>
      <c r="L119" s="15">
        <f t="shared" si="7"/>
        <v>84.824</v>
      </c>
      <c r="M119" s="12">
        <v>1</v>
      </c>
    </row>
    <row r="120" s="2" customFormat="1" ht="24" customHeight="1" spans="1:13">
      <c r="A120" s="11">
        <v>118</v>
      </c>
      <c r="B120" s="11" t="str">
        <f>"15115013125"</f>
        <v>15115013125</v>
      </c>
      <c r="C120" s="16" t="s">
        <v>41</v>
      </c>
      <c r="D120" s="7" t="str">
        <f>"折红伟"</f>
        <v>折红伟</v>
      </c>
      <c r="E120" s="17">
        <v>88.32</v>
      </c>
      <c r="F120" s="17">
        <f t="shared" si="8"/>
        <v>52.992</v>
      </c>
      <c r="G120" s="11"/>
      <c r="H120" s="11"/>
      <c r="I120" s="17">
        <f t="shared" si="9"/>
        <v>52.992</v>
      </c>
      <c r="J120" s="17">
        <v>76.2</v>
      </c>
      <c r="K120" s="17">
        <f t="shared" si="6"/>
        <v>30.48</v>
      </c>
      <c r="L120" s="17">
        <f t="shared" si="7"/>
        <v>83.472</v>
      </c>
      <c r="M120" s="11">
        <v>2</v>
      </c>
    </row>
    <row r="121" s="2" customFormat="1" ht="24" customHeight="1" spans="1:13">
      <c r="A121" s="11">
        <v>119</v>
      </c>
      <c r="B121" s="11" t="str">
        <f>"15115013123"</f>
        <v>15115013123</v>
      </c>
      <c r="C121" s="16" t="s">
        <v>41</v>
      </c>
      <c r="D121" s="7" t="str">
        <f>"郭晨"</f>
        <v>郭晨</v>
      </c>
      <c r="E121" s="17">
        <v>88.32</v>
      </c>
      <c r="F121" s="17">
        <f t="shared" si="8"/>
        <v>52.992</v>
      </c>
      <c r="G121" s="11"/>
      <c r="H121" s="11"/>
      <c r="I121" s="17">
        <f t="shared" si="9"/>
        <v>52.992</v>
      </c>
      <c r="J121" s="17">
        <v>72.8</v>
      </c>
      <c r="K121" s="17">
        <f t="shared" si="6"/>
        <v>29.12</v>
      </c>
      <c r="L121" s="17">
        <f t="shared" si="7"/>
        <v>82.112</v>
      </c>
      <c r="M121" s="11">
        <v>3</v>
      </c>
    </row>
    <row r="122" s="2" customFormat="1" ht="24" customHeight="1" spans="1:13">
      <c r="A122" s="11">
        <v>120</v>
      </c>
      <c r="B122" s="12" t="str">
        <f>"15116013318"</f>
        <v>15116013318</v>
      </c>
      <c r="C122" s="13" t="s">
        <v>42</v>
      </c>
      <c r="D122" s="14" t="str">
        <f>"刘定蒲"</f>
        <v>刘定蒲</v>
      </c>
      <c r="E122" s="15">
        <v>92.6</v>
      </c>
      <c r="F122" s="15">
        <f t="shared" si="8"/>
        <v>55.56</v>
      </c>
      <c r="G122" s="12"/>
      <c r="H122" s="12"/>
      <c r="I122" s="15">
        <f t="shared" si="9"/>
        <v>55.56</v>
      </c>
      <c r="J122" s="15">
        <v>86.2</v>
      </c>
      <c r="K122" s="15">
        <f t="shared" si="6"/>
        <v>34.48</v>
      </c>
      <c r="L122" s="15">
        <f t="shared" si="7"/>
        <v>90.04</v>
      </c>
      <c r="M122" s="12">
        <v>1</v>
      </c>
    </row>
    <row r="123" s="2" customFormat="1" ht="24" customHeight="1" spans="1:13">
      <c r="A123" s="11">
        <v>121</v>
      </c>
      <c r="B123" s="11" t="str">
        <f>"15116013409"</f>
        <v>15116013409</v>
      </c>
      <c r="C123" s="16" t="s">
        <v>42</v>
      </c>
      <c r="D123" s="7" t="str">
        <f>"高思遥"</f>
        <v>高思遥</v>
      </c>
      <c r="E123" s="17">
        <v>91</v>
      </c>
      <c r="F123" s="17">
        <f t="shared" si="8"/>
        <v>54.6</v>
      </c>
      <c r="G123" s="11"/>
      <c r="H123" s="11"/>
      <c r="I123" s="17">
        <f t="shared" si="9"/>
        <v>54.6</v>
      </c>
      <c r="J123" s="17">
        <v>85.6</v>
      </c>
      <c r="K123" s="17">
        <f t="shared" ref="K123:K152" si="10">J123*0.4</f>
        <v>34.24</v>
      </c>
      <c r="L123" s="17">
        <f t="shared" ref="L123:L139" si="11">K123+I123</f>
        <v>88.84</v>
      </c>
      <c r="M123" s="11">
        <v>2</v>
      </c>
    </row>
    <row r="124" s="2" customFormat="1" ht="24" customHeight="1" spans="1:13">
      <c r="A124" s="11">
        <v>122</v>
      </c>
      <c r="B124" s="11" t="str">
        <f>"15116013227"</f>
        <v>15116013227</v>
      </c>
      <c r="C124" s="16" t="s">
        <v>42</v>
      </c>
      <c r="D124" s="7" t="str">
        <f>"苏敬恩"</f>
        <v>苏敬恩</v>
      </c>
      <c r="E124" s="17">
        <v>88.32</v>
      </c>
      <c r="F124" s="17">
        <f t="shared" si="8"/>
        <v>52.992</v>
      </c>
      <c r="G124" s="11"/>
      <c r="H124" s="11"/>
      <c r="I124" s="17">
        <f t="shared" si="9"/>
        <v>52.992</v>
      </c>
      <c r="J124" s="17">
        <v>77</v>
      </c>
      <c r="K124" s="17">
        <f t="shared" si="10"/>
        <v>30.8</v>
      </c>
      <c r="L124" s="17">
        <f t="shared" si="11"/>
        <v>83.792</v>
      </c>
      <c r="M124" s="11">
        <v>3</v>
      </c>
    </row>
    <row r="125" s="2" customFormat="1" ht="24" customHeight="1" spans="1:13">
      <c r="A125" s="11">
        <v>123</v>
      </c>
      <c r="B125" s="12" t="str">
        <f>"15117012317"</f>
        <v>15117012317</v>
      </c>
      <c r="C125" s="13" t="s">
        <v>43</v>
      </c>
      <c r="D125" s="14" t="str">
        <f>"白瑞"</f>
        <v>白瑞</v>
      </c>
      <c r="E125" s="15">
        <v>76.72</v>
      </c>
      <c r="F125" s="15">
        <f t="shared" si="8"/>
        <v>46.032</v>
      </c>
      <c r="G125" s="12"/>
      <c r="H125" s="12"/>
      <c r="I125" s="15">
        <f t="shared" si="9"/>
        <v>46.032</v>
      </c>
      <c r="J125" s="15">
        <v>82.02</v>
      </c>
      <c r="K125" s="15">
        <f t="shared" si="10"/>
        <v>32.808</v>
      </c>
      <c r="L125" s="15">
        <f t="shared" si="11"/>
        <v>78.84</v>
      </c>
      <c r="M125" s="12">
        <v>1</v>
      </c>
    </row>
    <row r="126" s="2" customFormat="1" ht="24" customHeight="1" spans="1:13">
      <c r="A126" s="11">
        <v>124</v>
      </c>
      <c r="B126" s="11" t="str">
        <f>"15117012423"</f>
        <v>15117012423</v>
      </c>
      <c r="C126" s="16" t="s">
        <v>43</v>
      </c>
      <c r="D126" s="7" t="str">
        <f>"张乔"</f>
        <v>张乔</v>
      </c>
      <c r="E126" s="17">
        <v>76.72</v>
      </c>
      <c r="F126" s="17">
        <f t="shared" si="8"/>
        <v>46.032</v>
      </c>
      <c r="G126" s="11"/>
      <c r="H126" s="11"/>
      <c r="I126" s="17">
        <f t="shared" si="9"/>
        <v>46.032</v>
      </c>
      <c r="J126" s="17">
        <v>79.56</v>
      </c>
      <c r="K126" s="17">
        <f t="shared" si="10"/>
        <v>31.824</v>
      </c>
      <c r="L126" s="17">
        <f t="shared" si="11"/>
        <v>77.856</v>
      </c>
      <c r="M126" s="11">
        <v>2</v>
      </c>
    </row>
    <row r="127" s="2" customFormat="1" ht="24" customHeight="1" spans="1:16">
      <c r="A127" s="11">
        <v>125</v>
      </c>
      <c r="B127" s="11" t="str">
        <f>"15117012303"</f>
        <v>15117012303</v>
      </c>
      <c r="C127" s="16" t="s">
        <v>43</v>
      </c>
      <c r="D127" s="7" t="str">
        <f>"李荣"</f>
        <v>李荣</v>
      </c>
      <c r="E127" s="17">
        <v>71.76</v>
      </c>
      <c r="F127" s="17">
        <f t="shared" si="8"/>
        <v>43.056</v>
      </c>
      <c r="G127" s="11"/>
      <c r="H127" s="11"/>
      <c r="I127" s="17">
        <f t="shared" si="9"/>
        <v>43.056</v>
      </c>
      <c r="J127" s="17">
        <v>72.84</v>
      </c>
      <c r="K127" s="17">
        <f t="shared" si="10"/>
        <v>29.136</v>
      </c>
      <c r="L127" s="17">
        <f t="shared" si="11"/>
        <v>72.192</v>
      </c>
      <c r="M127" s="11">
        <v>3</v>
      </c>
      <c r="P127" s="3"/>
    </row>
    <row r="128" s="2" customFormat="1" ht="24" customHeight="1" spans="1:13">
      <c r="A128" s="11">
        <v>126</v>
      </c>
      <c r="B128" s="12" t="s">
        <v>44</v>
      </c>
      <c r="C128" s="13" t="s">
        <v>45</v>
      </c>
      <c r="D128" s="14" t="s">
        <v>46</v>
      </c>
      <c r="E128" s="15">
        <v>79.16</v>
      </c>
      <c r="F128" s="15">
        <f t="shared" si="8"/>
        <v>47.496</v>
      </c>
      <c r="G128" s="15">
        <v>2.5</v>
      </c>
      <c r="H128" s="15"/>
      <c r="I128" s="15">
        <f t="shared" ref="I128:I133" si="12">SUM(F128:G128)</f>
        <v>49.996</v>
      </c>
      <c r="J128" s="15">
        <v>83.68</v>
      </c>
      <c r="K128" s="15">
        <f t="shared" si="10"/>
        <v>33.472</v>
      </c>
      <c r="L128" s="15">
        <f t="shared" si="11"/>
        <v>83.468</v>
      </c>
      <c r="M128" s="12">
        <v>1</v>
      </c>
    </row>
    <row r="129" s="2" customFormat="1" ht="24" customHeight="1" spans="1:16">
      <c r="A129" s="11">
        <v>127</v>
      </c>
      <c r="B129" s="12" t="s">
        <v>47</v>
      </c>
      <c r="C129" s="13" t="s">
        <v>45</v>
      </c>
      <c r="D129" s="14" t="s">
        <v>48</v>
      </c>
      <c r="E129" s="15">
        <v>85.96</v>
      </c>
      <c r="F129" s="15">
        <f t="shared" si="8"/>
        <v>51.576</v>
      </c>
      <c r="G129" s="15"/>
      <c r="H129" s="15"/>
      <c r="I129" s="15">
        <f t="shared" si="12"/>
        <v>51.576</v>
      </c>
      <c r="J129" s="15">
        <v>78.92</v>
      </c>
      <c r="K129" s="15">
        <f t="shared" si="10"/>
        <v>31.568</v>
      </c>
      <c r="L129" s="15">
        <f t="shared" si="11"/>
        <v>83.144</v>
      </c>
      <c r="M129" s="12">
        <v>2</v>
      </c>
      <c r="P129" s="3"/>
    </row>
    <row r="130" s="2" customFormat="1" ht="24" customHeight="1" spans="1:13">
      <c r="A130" s="11">
        <v>128</v>
      </c>
      <c r="B130" s="11" t="s">
        <v>49</v>
      </c>
      <c r="C130" s="16" t="s">
        <v>45</v>
      </c>
      <c r="D130" s="22" t="s">
        <v>50</v>
      </c>
      <c r="E130" s="17">
        <v>82.36</v>
      </c>
      <c r="F130" s="17">
        <f t="shared" si="8"/>
        <v>49.416</v>
      </c>
      <c r="G130" s="17"/>
      <c r="H130" s="17"/>
      <c r="I130" s="17">
        <f t="shared" si="12"/>
        <v>49.416</v>
      </c>
      <c r="J130" s="17">
        <v>78.5</v>
      </c>
      <c r="K130" s="17">
        <f t="shared" si="10"/>
        <v>31.4</v>
      </c>
      <c r="L130" s="17">
        <f t="shared" si="11"/>
        <v>80.816</v>
      </c>
      <c r="M130" s="11">
        <v>3</v>
      </c>
    </row>
    <row r="131" s="2" customFormat="1" ht="24" customHeight="1" spans="1:13">
      <c r="A131" s="11">
        <v>129</v>
      </c>
      <c r="B131" s="11" t="s">
        <v>51</v>
      </c>
      <c r="C131" s="16" t="s">
        <v>45</v>
      </c>
      <c r="D131" s="22" t="s">
        <v>52</v>
      </c>
      <c r="E131" s="17">
        <v>85.96</v>
      </c>
      <c r="F131" s="17">
        <f t="shared" ref="F131:F194" si="13">E131*0.6</f>
        <v>51.576</v>
      </c>
      <c r="G131" s="17"/>
      <c r="H131" s="17"/>
      <c r="I131" s="17">
        <f t="shared" si="12"/>
        <v>51.576</v>
      </c>
      <c r="J131" s="17">
        <v>72</v>
      </c>
      <c r="K131" s="17">
        <f t="shared" si="10"/>
        <v>28.8</v>
      </c>
      <c r="L131" s="17">
        <f t="shared" si="11"/>
        <v>80.376</v>
      </c>
      <c r="M131" s="11">
        <v>4</v>
      </c>
    </row>
    <row r="132" s="2" customFormat="1" ht="24" customHeight="1" spans="1:13">
      <c r="A132" s="11">
        <v>130</v>
      </c>
      <c r="B132" s="11" t="s">
        <v>53</v>
      </c>
      <c r="C132" s="16" t="s">
        <v>45</v>
      </c>
      <c r="D132" s="22" t="s">
        <v>54</v>
      </c>
      <c r="E132" s="17">
        <v>83.2</v>
      </c>
      <c r="F132" s="17">
        <f t="shared" si="13"/>
        <v>49.92</v>
      </c>
      <c r="G132" s="17"/>
      <c r="H132" s="17"/>
      <c r="I132" s="17">
        <f t="shared" si="12"/>
        <v>49.92</v>
      </c>
      <c r="J132" s="17">
        <v>73.2</v>
      </c>
      <c r="K132" s="17">
        <f t="shared" si="10"/>
        <v>29.28</v>
      </c>
      <c r="L132" s="17">
        <f t="shared" si="11"/>
        <v>79.2</v>
      </c>
      <c r="M132" s="11">
        <v>5</v>
      </c>
    </row>
    <row r="133" s="2" customFormat="1" ht="24" customHeight="1" spans="1:13">
      <c r="A133" s="11">
        <v>131</v>
      </c>
      <c r="B133" s="11" t="s">
        <v>55</v>
      </c>
      <c r="C133" s="16" t="s">
        <v>45</v>
      </c>
      <c r="D133" s="22" t="s">
        <v>56</v>
      </c>
      <c r="E133" s="17">
        <v>81.76</v>
      </c>
      <c r="F133" s="17">
        <f t="shared" si="13"/>
        <v>49.056</v>
      </c>
      <c r="G133" s="17"/>
      <c r="H133" s="17"/>
      <c r="I133" s="17">
        <f t="shared" si="12"/>
        <v>49.056</v>
      </c>
      <c r="J133" s="17">
        <v>71.4</v>
      </c>
      <c r="K133" s="17">
        <f t="shared" si="10"/>
        <v>28.56</v>
      </c>
      <c r="L133" s="17">
        <f t="shared" si="11"/>
        <v>77.616</v>
      </c>
      <c r="M133" s="11">
        <v>6</v>
      </c>
    </row>
    <row r="134" ht="24" customHeight="1" spans="1:13">
      <c r="A134" s="11">
        <v>132</v>
      </c>
      <c r="B134" s="12" t="str">
        <f>"15119012904"</f>
        <v>15119012904</v>
      </c>
      <c r="C134" s="13" t="s">
        <v>57</v>
      </c>
      <c r="D134" s="14" t="str">
        <f>"包伶俐"</f>
        <v>包伶俐</v>
      </c>
      <c r="E134" s="15">
        <v>90.07</v>
      </c>
      <c r="F134" s="15">
        <f t="shared" si="13"/>
        <v>54.042</v>
      </c>
      <c r="G134" s="12">
        <v>2.5</v>
      </c>
      <c r="H134" s="12"/>
      <c r="I134" s="15">
        <f t="shared" ref="I134:I197" si="14">SUM(F134:H134)</f>
        <v>56.542</v>
      </c>
      <c r="J134" s="15">
        <v>86.6</v>
      </c>
      <c r="K134" s="15">
        <f t="shared" si="10"/>
        <v>34.64</v>
      </c>
      <c r="L134" s="15">
        <f t="shared" si="11"/>
        <v>91.182</v>
      </c>
      <c r="M134" s="12">
        <v>1</v>
      </c>
    </row>
    <row r="135" ht="24" customHeight="1" spans="1:16">
      <c r="A135" s="11">
        <v>133</v>
      </c>
      <c r="B135" s="12" t="str">
        <f>"15119012908"</f>
        <v>15119012908</v>
      </c>
      <c r="C135" s="13" t="s">
        <v>57</v>
      </c>
      <c r="D135" s="14" t="str">
        <f>"任睿晔"</f>
        <v>任睿晔</v>
      </c>
      <c r="E135" s="15">
        <v>83</v>
      </c>
      <c r="F135" s="15">
        <f t="shared" si="13"/>
        <v>49.8</v>
      </c>
      <c r="G135" s="12"/>
      <c r="H135" s="12"/>
      <c r="I135" s="15">
        <f t="shared" si="14"/>
        <v>49.8</v>
      </c>
      <c r="J135" s="15">
        <v>81.8</v>
      </c>
      <c r="K135" s="15">
        <f t="shared" si="10"/>
        <v>32.72</v>
      </c>
      <c r="L135" s="15">
        <f t="shared" si="11"/>
        <v>82.52</v>
      </c>
      <c r="M135" s="12">
        <v>2</v>
      </c>
      <c r="P135" s="3"/>
    </row>
    <row r="136" ht="24" customHeight="1" spans="1:16">
      <c r="A136" s="11">
        <v>134</v>
      </c>
      <c r="B136" s="11" t="str">
        <f>"15119012907"</f>
        <v>15119012907</v>
      </c>
      <c r="C136" s="16" t="s">
        <v>57</v>
      </c>
      <c r="D136" s="7" t="str">
        <f>"靳一凡"</f>
        <v>靳一凡</v>
      </c>
      <c r="E136" s="17">
        <v>77.73</v>
      </c>
      <c r="F136" s="17">
        <f t="shared" si="13"/>
        <v>46.638</v>
      </c>
      <c r="G136" s="11">
        <v>2.5</v>
      </c>
      <c r="H136" s="11"/>
      <c r="I136" s="17">
        <f t="shared" si="14"/>
        <v>49.138</v>
      </c>
      <c r="J136" s="17">
        <v>82</v>
      </c>
      <c r="K136" s="17">
        <f t="shared" si="10"/>
        <v>32.8</v>
      </c>
      <c r="L136" s="17">
        <f t="shared" si="11"/>
        <v>81.938</v>
      </c>
      <c r="M136" s="11">
        <v>3</v>
      </c>
      <c r="P136" s="3"/>
    </row>
    <row r="137" ht="24" customHeight="1" spans="1:16">
      <c r="A137" s="11">
        <v>135</v>
      </c>
      <c r="B137" s="11" t="str">
        <f>"15119012901"</f>
        <v>15119012901</v>
      </c>
      <c r="C137" s="16" t="s">
        <v>57</v>
      </c>
      <c r="D137" s="7" t="str">
        <f>"高嘉璐"</f>
        <v>高嘉璐</v>
      </c>
      <c r="E137" s="17">
        <v>83.02</v>
      </c>
      <c r="F137" s="17">
        <f t="shared" si="13"/>
        <v>49.812</v>
      </c>
      <c r="G137" s="11"/>
      <c r="H137" s="11"/>
      <c r="I137" s="17">
        <f t="shared" si="14"/>
        <v>49.812</v>
      </c>
      <c r="J137" s="17">
        <v>78.2</v>
      </c>
      <c r="K137" s="17">
        <f t="shared" si="10"/>
        <v>31.28</v>
      </c>
      <c r="L137" s="17">
        <f t="shared" si="11"/>
        <v>81.092</v>
      </c>
      <c r="M137" s="11">
        <v>4</v>
      </c>
      <c r="P137" s="3"/>
    </row>
    <row r="138" ht="24" customHeight="1" spans="1:16">
      <c r="A138" s="11">
        <v>136</v>
      </c>
      <c r="B138" s="11" t="str">
        <f>"15119012911"</f>
        <v>15119012911</v>
      </c>
      <c r="C138" s="16" t="s">
        <v>57</v>
      </c>
      <c r="D138" s="7" t="str">
        <f>"王海"</f>
        <v>王海</v>
      </c>
      <c r="E138" s="17">
        <v>82.74</v>
      </c>
      <c r="F138" s="17">
        <f t="shared" si="13"/>
        <v>49.644</v>
      </c>
      <c r="G138" s="11"/>
      <c r="H138" s="11"/>
      <c r="I138" s="17">
        <f t="shared" si="14"/>
        <v>49.644</v>
      </c>
      <c r="J138" s="17">
        <v>74.4</v>
      </c>
      <c r="K138" s="17">
        <f t="shared" si="10"/>
        <v>29.76</v>
      </c>
      <c r="L138" s="17">
        <f t="shared" si="11"/>
        <v>79.404</v>
      </c>
      <c r="M138" s="11">
        <v>5</v>
      </c>
      <c r="P138" s="3"/>
    </row>
    <row r="139" ht="24" customHeight="1" spans="1:13">
      <c r="A139" s="11">
        <v>137</v>
      </c>
      <c r="B139" s="11" t="str">
        <f>"15119012905"</f>
        <v>15119012905</v>
      </c>
      <c r="C139" s="16" t="s">
        <v>57</v>
      </c>
      <c r="D139" s="7" t="str">
        <f>"蔡乌云"</f>
        <v>蔡乌云</v>
      </c>
      <c r="E139" s="17">
        <v>75.95</v>
      </c>
      <c r="F139" s="17">
        <f t="shared" si="13"/>
        <v>45.57</v>
      </c>
      <c r="G139" s="11">
        <v>2.5</v>
      </c>
      <c r="H139" s="11"/>
      <c r="I139" s="17">
        <f t="shared" si="14"/>
        <v>48.07</v>
      </c>
      <c r="J139" s="17">
        <v>73.6</v>
      </c>
      <c r="K139" s="17">
        <f t="shared" si="10"/>
        <v>29.44</v>
      </c>
      <c r="L139" s="17">
        <f t="shared" si="11"/>
        <v>77.51</v>
      </c>
      <c r="M139" s="11">
        <v>6</v>
      </c>
    </row>
    <row r="140" ht="24" customHeight="1" spans="1:13">
      <c r="A140" s="11">
        <v>138</v>
      </c>
      <c r="B140" s="12" t="str">
        <f>"15120012923"</f>
        <v>15120012923</v>
      </c>
      <c r="C140" s="13" t="s">
        <v>58</v>
      </c>
      <c r="D140" s="14" t="str">
        <f>"吕星宇"</f>
        <v>吕星宇</v>
      </c>
      <c r="E140" s="15">
        <v>87.33</v>
      </c>
      <c r="F140" s="15">
        <f t="shared" si="13"/>
        <v>52.398</v>
      </c>
      <c r="G140" s="12"/>
      <c r="H140" s="12"/>
      <c r="I140" s="15">
        <f t="shared" si="14"/>
        <v>52.398</v>
      </c>
      <c r="J140" s="15">
        <v>84.8</v>
      </c>
      <c r="K140" s="15">
        <f t="shared" si="10"/>
        <v>33.92</v>
      </c>
      <c r="L140" s="15">
        <f t="shared" ref="L140:L152" si="15">I140+K140</f>
        <v>86.318</v>
      </c>
      <c r="M140" s="25">
        <v>1</v>
      </c>
    </row>
    <row r="141" ht="24" customHeight="1" spans="1:13">
      <c r="A141" s="11">
        <v>139</v>
      </c>
      <c r="B141" s="12" t="str">
        <f>"15120012922"</f>
        <v>15120012922</v>
      </c>
      <c r="C141" s="13" t="s">
        <v>58</v>
      </c>
      <c r="D141" s="14" t="str">
        <f>"田丹阳"</f>
        <v>田丹阳</v>
      </c>
      <c r="E141" s="15">
        <v>82.74</v>
      </c>
      <c r="F141" s="15">
        <f t="shared" si="13"/>
        <v>49.644</v>
      </c>
      <c r="G141" s="12"/>
      <c r="H141" s="12"/>
      <c r="I141" s="15">
        <f t="shared" si="14"/>
        <v>49.644</v>
      </c>
      <c r="J141" s="15">
        <v>87.6</v>
      </c>
      <c r="K141" s="15">
        <f t="shared" si="10"/>
        <v>35.04</v>
      </c>
      <c r="L141" s="15">
        <f t="shared" si="15"/>
        <v>84.684</v>
      </c>
      <c r="M141" s="25">
        <v>2</v>
      </c>
    </row>
    <row r="142" ht="24" customHeight="1" spans="1:13">
      <c r="A142" s="11">
        <v>140</v>
      </c>
      <c r="B142" s="11" t="str">
        <f>"15120012924"</f>
        <v>15120012924</v>
      </c>
      <c r="C142" s="16" t="s">
        <v>58</v>
      </c>
      <c r="D142" s="7" t="str">
        <f>"段芝丽"</f>
        <v>段芝丽</v>
      </c>
      <c r="E142" s="17">
        <v>80.89</v>
      </c>
      <c r="F142" s="17">
        <f t="shared" si="13"/>
        <v>48.534</v>
      </c>
      <c r="G142" s="11">
        <v>2.5</v>
      </c>
      <c r="H142" s="11"/>
      <c r="I142" s="17">
        <f t="shared" si="14"/>
        <v>51.034</v>
      </c>
      <c r="J142" s="17">
        <v>74.6</v>
      </c>
      <c r="K142" s="17">
        <f t="shared" si="10"/>
        <v>29.84</v>
      </c>
      <c r="L142" s="17">
        <f t="shared" si="15"/>
        <v>80.874</v>
      </c>
      <c r="M142" s="26">
        <v>3</v>
      </c>
    </row>
    <row r="143" ht="24" customHeight="1" spans="1:13">
      <c r="A143" s="11">
        <v>141</v>
      </c>
      <c r="B143" s="11" t="str">
        <f>"15120012919"</f>
        <v>15120012919</v>
      </c>
      <c r="C143" s="16" t="s">
        <v>58</v>
      </c>
      <c r="D143" s="7" t="str">
        <f>"代婷开"</f>
        <v>代婷开</v>
      </c>
      <c r="E143" s="17">
        <v>78.64</v>
      </c>
      <c r="F143" s="17">
        <f t="shared" si="13"/>
        <v>47.184</v>
      </c>
      <c r="G143" s="11"/>
      <c r="H143" s="11"/>
      <c r="I143" s="17">
        <f t="shared" si="14"/>
        <v>47.184</v>
      </c>
      <c r="J143" s="17">
        <v>79</v>
      </c>
      <c r="K143" s="17">
        <f t="shared" si="10"/>
        <v>31.6</v>
      </c>
      <c r="L143" s="17">
        <f t="shared" si="15"/>
        <v>78.784</v>
      </c>
      <c r="M143" s="26">
        <v>4</v>
      </c>
    </row>
    <row r="144" ht="24" customHeight="1" spans="1:13">
      <c r="A144" s="11">
        <v>142</v>
      </c>
      <c r="B144" s="11" t="str">
        <f>"15120012917"</f>
        <v>15120012917</v>
      </c>
      <c r="C144" s="16" t="s">
        <v>58</v>
      </c>
      <c r="D144" s="7" t="str">
        <f>"王慧"</f>
        <v>王慧</v>
      </c>
      <c r="E144" s="17">
        <v>75.83</v>
      </c>
      <c r="F144" s="17">
        <f t="shared" si="13"/>
        <v>45.498</v>
      </c>
      <c r="G144" s="11"/>
      <c r="H144" s="11"/>
      <c r="I144" s="17">
        <f t="shared" si="14"/>
        <v>45.498</v>
      </c>
      <c r="J144" s="17">
        <v>81.4</v>
      </c>
      <c r="K144" s="17">
        <f t="shared" si="10"/>
        <v>32.56</v>
      </c>
      <c r="L144" s="17">
        <f t="shared" si="15"/>
        <v>78.058</v>
      </c>
      <c r="M144" s="11">
        <v>5</v>
      </c>
    </row>
    <row r="145" ht="24" customHeight="1" spans="1:13">
      <c r="A145" s="11">
        <v>143</v>
      </c>
      <c r="B145" s="11" t="str">
        <f>"15120012926"</f>
        <v>15120012926</v>
      </c>
      <c r="C145" s="16" t="s">
        <v>58</v>
      </c>
      <c r="D145" s="7" t="str">
        <f>"张国敏"</f>
        <v>张国敏</v>
      </c>
      <c r="E145" s="17">
        <v>75.55</v>
      </c>
      <c r="F145" s="17">
        <f t="shared" si="13"/>
        <v>45.33</v>
      </c>
      <c r="G145" s="11"/>
      <c r="H145" s="11"/>
      <c r="I145" s="17">
        <f t="shared" si="14"/>
        <v>45.33</v>
      </c>
      <c r="J145" s="17">
        <v>81.4</v>
      </c>
      <c r="K145" s="17">
        <f t="shared" si="10"/>
        <v>32.56</v>
      </c>
      <c r="L145" s="17">
        <f t="shared" si="15"/>
        <v>77.89</v>
      </c>
      <c r="M145" s="11">
        <v>6</v>
      </c>
    </row>
    <row r="146" ht="24" customHeight="1" spans="1:13">
      <c r="A146" s="11">
        <v>144</v>
      </c>
      <c r="B146" s="12" t="str">
        <f>"15121014202"</f>
        <v>15121014202</v>
      </c>
      <c r="C146" s="13" t="s">
        <v>59</v>
      </c>
      <c r="D146" s="14" t="str">
        <f>"南丁"</f>
        <v>南丁</v>
      </c>
      <c r="E146" s="15">
        <v>82.1</v>
      </c>
      <c r="F146" s="15">
        <f t="shared" si="13"/>
        <v>49.26</v>
      </c>
      <c r="G146" s="12">
        <v>2.5</v>
      </c>
      <c r="H146" s="12"/>
      <c r="I146" s="15">
        <f t="shared" si="14"/>
        <v>51.76</v>
      </c>
      <c r="J146" s="15">
        <v>83.8</v>
      </c>
      <c r="K146" s="15">
        <f t="shared" si="10"/>
        <v>33.52</v>
      </c>
      <c r="L146" s="15">
        <f t="shared" si="15"/>
        <v>85.28</v>
      </c>
      <c r="M146" s="12">
        <v>1</v>
      </c>
    </row>
    <row r="147" ht="24" customHeight="1" spans="1:13">
      <c r="A147" s="11">
        <v>145</v>
      </c>
      <c r="B147" s="11" t="str">
        <f>"15121014213"</f>
        <v>15121014213</v>
      </c>
      <c r="C147" s="16" t="s">
        <v>59</v>
      </c>
      <c r="D147" s="7" t="str">
        <f>"索伦嘎"</f>
        <v>索伦嘎</v>
      </c>
      <c r="E147" s="17">
        <v>85</v>
      </c>
      <c r="F147" s="17">
        <f t="shared" si="13"/>
        <v>51</v>
      </c>
      <c r="G147" s="11">
        <v>2.5</v>
      </c>
      <c r="H147" s="11"/>
      <c r="I147" s="17">
        <f t="shared" si="14"/>
        <v>53.5</v>
      </c>
      <c r="J147" s="17">
        <v>74.4</v>
      </c>
      <c r="K147" s="17">
        <f t="shared" si="10"/>
        <v>29.76</v>
      </c>
      <c r="L147" s="17">
        <f t="shared" si="15"/>
        <v>83.26</v>
      </c>
      <c r="M147" s="11">
        <v>2</v>
      </c>
    </row>
    <row r="148" ht="24" customHeight="1" spans="1:13">
      <c r="A148" s="11">
        <v>146</v>
      </c>
      <c r="B148" s="11" t="str">
        <f>"15121014205"</f>
        <v>15121014205</v>
      </c>
      <c r="C148" s="16" t="s">
        <v>59</v>
      </c>
      <c r="D148" s="7" t="str">
        <f>"阿茹罕"</f>
        <v>阿茹罕</v>
      </c>
      <c r="E148" s="17">
        <v>83.8</v>
      </c>
      <c r="F148" s="17">
        <f t="shared" si="13"/>
        <v>50.28</v>
      </c>
      <c r="G148" s="11">
        <v>2.5</v>
      </c>
      <c r="H148" s="11"/>
      <c r="I148" s="17">
        <f t="shared" si="14"/>
        <v>52.78</v>
      </c>
      <c r="J148" s="17">
        <v>75.8</v>
      </c>
      <c r="K148" s="17">
        <f t="shared" si="10"/>
        <v>30.32</v>
      </c>
      <c r="L148" s="17">
        <f t="shared" si="15"/>
        <v>83.1</v>
      </c>
      <c r="M148" s="11">
        <v>3</v>
      </c>
    </row>
    <row r="149" ht="24" customHeight="1" spans="1:13">
      <c r="A149" s="11">
        <v>147</v>
      </c>
      <c r="B149" s="11" t="str">
        <f>"15123014411"</f>
        <v>15123014411</v>
      </c>
      <c r="C149" s="16" t="s">
        <v>60</v>
      </c>
      <c r="D149" s="7" t="str">
        <f>"图娜拉"</f>
        <v>图娜拉</v>
      </c>
      <c r="E149" s="17">
        <v>62.43</v>
      </c>
      <c r="F149" s="17">
        <f t="shared" si="13"/>
        <v>37.458</v>
      </c>
      <c r="G149" s="11">
        <v>2.5</v>
      </c>
      <c r="H149" s="11"/>
      <c r="I149" s="17">
        <f t="shared" si="14"/>
        <v>39.958</v>
      </c>
      <c r="J149" s="17">
        <v>85.68</v>
      </c>
      <c r="K149" s="17">
        <f t="shared" si="10"/>
        <v>34.272</v>
      </c>
      <c r="L149" s="17">
        <f t="shared" si="15"/>
        <v>74.23</v>
      </c>
      <c r="M149" s="11">
        <v>1</v>
      </c>
    </row>
    <row r="150" ht="24" customHeight="1" spans="1:13">
      <c r="A150" s="11">
        <v>148</v>
      </c>
      <c r="B150" s="11" t="str">
        <f>"15123014404"</f>
        <v>15123014404</v>
      </c>
      <c r="C150" s="16" t="s">
        <v>60</v>
      </c>
      <c r="D150" s="7" t="str">
        <f>"阿鲁斯"</f>
        <v>阿鲁斯</v>
      </c>
      <c r="E150" s="17">
        <v>47.06</v>
      </c>
      <c r="F150" s="17">
        <f t="shared" si="13"/>
        <v>28.236</v>
      </c>
      <c r="G150" s="11">
        <v>2.5</v>
      </c>
      <c r="H150" s="11"/>
      <c r="I150" s="17">
        <f t="shared" si="14"/>
        <v>30.736</v>
      </c>
      <c r="J150" s="17">
        <v>75.5</v>
      </c>
      <c r="K150" s="17">
        <f t="shared" si="10"/>
        <v>30.2</v>
      </c>
      <c r="L150" s="17">
        <f t="shared" si="15"/>
        <v>60.936</v>
      </c>
      <c r="M150" s="11">
        <v>2</v>
      </c>
    </row>
    <row r="151" ht="24" customHeight="1" spans="1:13">
      <c r="A151" s="11">
        <v>149</v>
      </c>
      <c r="B151" s="11" t="str">
        <f>"15123014406"</f>
        <v>15123014406</v>
      </c>
      <c r="C151" s="16" t="s">
        <v>60</v>
      </c>
      <c r="D151" s="7" t="str">
        <f>"道力高"</f>
        <v>道力高</v>
      </c>
      <c r="E151" s="17">
        <v>38.67</v>
      </c>
      <c r="F151" s="17">
        <f t="shared" si="13"/>
        <v>23.202</v>
      </c>
      <c r="G151" s="11">
        <v>2.5</v>
      </c>
      <c r="H151" s="11"/>
      <c r="I151" s="17">
        <f t="shared" si="14"/>
        <v>25.702</v>
      </c>
      <c r="J151" s="17">
        <v>78</v>
      </c>
      <c r="K151" s="17">
        <f t="shared" si="10"/>
        <v>31.2</v>
      </c>
      <c r="L151" s="17">
        <f t="shared" si="15"/>
        <v>56.902</v>
      </c>
      <c r="M151" s="11">
        <v>3</v>
      </c>
    </row>
    <row r="152" s="2" customFormat="1" ht="24" customHeight="1" spans="1:13">
      <c r="A152" s="11">
        <v>150</v>
      </c>
      <c r="B152" s="11" t="str">
        <f>"15123014414"</f>
        <v>15123014414</v>
      </c>
      <c r="C152" s="16" t="s">
        <v>60</v>
      </c>
      <c r="D152" s="7" t="str">
        <f>"乌云嘎"</f>
        <v>乌云嘎</v>
      </c>
      <c r="E152" s="17">
        <v>39.02</v>
      </c>
      <c r="F152" s="17">
        <f t="shared" si="13"/>
        <v>23.412</v>
      </c>
      <c r="G152" s="11">
        <v>2.5</v>
      </c>
      <c r="H152" s="11"/>
      <c r="I152" s="17">
        <f t="shared" si="14"/>
        <v>25.912</v>
      </c>
      <c r="J152" s="17">
        <v>72.9</v>
      </c>
      <c r="K152" s="17">
        <f t="shared" si="10"/>
        <v>29.16</v>
      </c>
      <c r="L152" s="17">
        <f t="shared" si="15"/>
        <v>55.072</v>
      </c>
      <c r="M152" s="11">
        <v>4</v>
      </c>
    </row>
    <row r="153" s="2" customFormat="1" ht="24" customHeight="1" spans="1:13">
      <c r="A153" s="11">
        <v>151</v>
      </c>
      <c r="B153" s="11" t="str">
        <f>"15123014408"</f>
        <v>15123014408</v>
      </c>
      <c r="C153" s="16" t="s">
        <v>60</v>
      </c>
      <c r="D153" s="7" t="str">
        <f>"耐日斯格"</f>
        <v>耐日斯格</v>
      </c>
      <c r="E153" s="17">
        <v>42.21</v>
      </c>
      <c r="F153" s="17">
        <f t="shared" si="13"/>
        <v>25.326</v>
      </c>
      <c r="G153" s="11">
        <v>2.5</v>
      </c>
      <c r="H153" s="11"/>
      <c r="I153" s="17">
        <f t="shared" si="14"/>
        <v>27.826</v>
      </c>
      <c r="J153" s="17" t="s">
        <v>61</v>
      </c>
      <c r="K153" s="17"/>
      <c r="L153" s="17"/>
      <c r="M153" s="11">
        <v>5</v>
      </c>
    </row>
    <row r="154" s="2" customFormat="1" ht="24" customHeight="1" spans="1:13">
      <c r="A154" s="11">
        <v>152</v>
      </c>
      <c r="B154" s="11" t="str">
        <f>"15123014415"</f>
        <v>15123014415</v>
      </c>
      <c r="C154" s="16" t="s">
        <v>60</v>
      </c>
      <c r="D154" s="7" t="str">
        <f>"夏日"</f>
        <v>夏日</v>
      </c>
      <c r="E154" s="17">
        <v>41.54</v>
      </c>
      <c r="F154" s="17">
        <f t="shared" si="13"/>
        <v>24.924</v>
      </c>
      <c r="G154" s="11">
        <v>2.5</v>
      </c>
      <c r="H154" s="11"/>
      <c r="I154" s="17">
        <f t="shared" si="14"/>
        <v>27.424</v>
      </c>
      <c r="J154" s="17" t="s">
        <v>15</v>
      </c>
      <c r="K154" s="17"/>
      <c r="L154" s="17"/>
      <c r="M154" s="11">
        <v>6</v>
      </c>
    </row>
    <row r="155" s="2" customFormat="1" ht="24" customHeight="1" spans="1:13">
      <c r="A155" s="11">
        <v>153</v>
      </c>
      <c r="B155" s="12" t="str">
        <f>"15124014602"</f>
        <v>15124014602</v>
      </c>
      <c r="C155" s="13" t="s">
        <v>62</v>
      </c>
      <c r="D155" s="14" t="str">
        <f>"拉希诺力玛"</f>
        <v>拉希诺力玛</v>
      </c>
      <c r="E155" s="15">
        <v>63.82</v>
      </c>
      <c r="F155" s="15">
        <f t="shared" si="13"/>
        <v>38.292</v>
      </c>
      <c r="G155" s="12">
        <v>2.5</v>
      </c>
      <c r="H155" s="12"/>
      <c r="I155" s="15">
        <f t="shared" si="14"/>
        <v>40.792</v>
      </c>
      <c r="J155" s="15">
        <v>78</v>
      </c>
      <c r="K155" s="15">
        <f t="shared" ref="K155:K218" si="16">J155*0.4</f>
        <v>31.2</v>
      </c>
      <c r="L155" s="15">
        <f t="shared" ref="L155:L184" si="17">I155+K155</f>
        <v>71.992</v>
      </c>
      <c r="M155" s="12">
        <v>1</v>
      </c>
    </row>
    <row r="156" s="2" customFormat="1" ht="24" customHeight="1" spans="1:13">
      <c r="A156" s="11">
        <v>154</v>
      </c>
      <c r="B156" s="11" t="str">
        <f>"15124014601"</f>
        <v>15124014601</v>
      </c>
      <c r="C156" s="16" t="s">
        <v>62</v>
      </c>
      <c r="D156" s="7" t="str">
        <f>"乌亚恒"</f>
        <v>乌亚恒</v>
      </c>
      <c r="E156" s="17">
        <v>48.72</v>
      </c>
      <c r="F156" s="17">
        <f t="shared" si="13"/>
        <v>29.232</v>
      </c>
      <c r="G156" s="11">
        <v>2.5</v>
      </c>
      <c r="H156" s="11"/>
      <c r="I156" s="17">
        <f t="shared" si="14"/>
        <v>31.732</v>
      </c>
      <c r="J156" s="17">
        <v>77.2</v>
      </c>
      <c r="K156" s="17">
        <f t="shared" si="16"/>
        <v>30.88</v>
      </c>
      <c r="L156" s="17">
        <f t="shared" si="17"/>
        <v>62.612</v>
      </c>
      <c r="M156" s="11">
        <v>2</v>
      </c>
    </row>
    <row r="157" s="2" customFormat="1" ht="24" customHeight="1" spans="1:13">
      <c r="A157" s="11">
        <v>155</v>
      </c>
      <c r="B157" s="11" t="str">
        <f>"15124014603"</f>
        <v>15124014603</v>
      </c>
      <c r="C157" s="16" t="s">
        <v>62</v>
      </c>
      <c r="D157" s="7" t="str">
        <f>"魏敏"</f>
        <v>魏敏</v>
      </c>
      <c r="E157" s="17">
        <v>36.22</v>
      </c>
      <c r="F157" s="17">
        <f t="shared" si="13"/>
        <v>21.732</v>
      </c>
      <c r="G157" s="11">
        <v>2.5</v>
      </c>
      <c r="H157" s="11"/>
      <c r="I157" s="17">
        <f t="shared" si="14"/>
        <v>24.232</v>
      </c>
      <c r="J157" s="17">
        <v>68</v>
      </c>
      <c r="K157" s="17">
        <f t="shared" si="16"/>
        <v>27.2</v>
      </c>
      <c r="L157" s="17">
        <f t="shared" si="17"/>
        <v>51.432</v>
      </c>
      <c r="M157" s="11">
        <v>3</v>
      </c>
    </row>
    <row r="158" s="2" customFormat="1" ht="24" customHeight="1" spans="1:13">
      <c r="A158" s="11">
        <v>156</v>
      </c>
      <c r="B158" s="12" t="str">
        <f>"15125014606"</f>
        <v>15125014606</v>
      </c>
      <c r="C158" s="13" t="s">
        <v>63</v>
      </c>
      <c r="D158" s="14" t="str">
        <f>"娜慕乐"</f>
        <v>娜慕乐</v>
      </c>
      <c r="E158" s="15">
        <v>57.78</v>
      </c>
      <c r="F158" s="15">
        <f t="shared" si="13"/>
        <v>34.668</v>
      </c>
      <c r="G158" s="12">
        <v>2.5</v>
      </c>
      <c r="H158" s="12"/>
      <c r="I158" s="15">
        <f t="shared" si="14"/>
        <v>37.168</v>
      </c>
      <c r="J158" s="15">
        <v>77.8</v>
      </c>
      <c r="K158" s="15">
        <f t="shared" si="16"/>
        <v>31.12</v>
      </c>
      <c r="L158" s="15">
        <f t="shared" si="17"/>
        <v>68.288</v>
      </c>
      <c r="M158" s="12">
        <v>1</v>
      </c>
    </row>
    <row r="159" s="2" customFormat="1" ht="24" customHeight="1" spans="1:13">
      <c r="A159" s="11">
        <v>157</v>
      </c>
      <c r="B159" s="11" t="str">
        <f>"15125014615"</f>
        <v>15125014615</v>
      </c>
      <c r="C159" s="16" t="s">
        <v>63</v>
      </c>
      <c r="D159" s="7" t="str">
        <f>"乌雅汗"</f>
        <v>乌雅汗</v>
      </c>
      <c r="E159" s="17">
        <v>53.52</v>
      </c>
      <c r="F159" s="17">
        <f t="shared" si="13"/>
        <v>32.112</v>
      </c>
      <c r="G159" s="11">
        <v>2.5</v>
      </c>
      <c r="H159" s="11"/>
      <c r="I159" s="17">
        <f t="shared" si="14"/>
        <v>34.612</v>
      </c>
      <c r="J159" s="17">
        <v>72.6</v>
      </c>
      <c r="K159" s="17">
        <f t="shared" si="16"/>
        <v>29.04</v>
      </c>
      <c r="L159" s="17">
        <f t="shared" si="17"/>
        <v>63.652</v>
      </c>
      <c r="M159" s="11">
        <v>2</v>
      </c>
    </row>
    <row r="160" s="2" customFormat="1" ht="25" customHeight="1" spans="1:13">
      <c r="A160" s="11">
        <v>158</v>
      </c>
      <c r="B160" s="11" t="str">
        <f>"15125014609"</f>
        <v>15125014609</v>
      </c>
      <c r="C160" s="16" t="s">
        <v>63</v>
      </c>
      <c r="D160" s="7" t="str">
        <f>"萨初日"</f>
        <v>萨初日</v>
      </c>
      <c r="E160" s="17">
        <v>46.88</v>
      </c>
      <c r="F160" s="17">
        <f t="shared" si="13"/>
        <v>28.128</v>
      </c>
      <c r="G160" s="11">
        <v>2.5</v>
      </c>
      <c r="H160" s="11"/>
      <c r="I160" s="17">
        <f t="shared" si="14"/>
        <v>30.628</v>
      </c>
      <c r="J160" s="17">
        <v>67.2</v>
      </c>
      <c r="K160" s="17">
        <f t="shared" si="16"/>
        <v>26.88</v>
      </c>
      <c r="L160" s="17">
        <f t="shared" si="17"/>
        <v>57.508</v>
      </c>
      <c r="M160" s="11">
        <v>3</v>
      </c>
    </row>
    <row r="161" s="2" customFormat="1" ht="24" customHeight="1" spans="1:13">
      <c r="A161" s="11">
        <v>159</v>
      </c>
      <c r="B161" s="12" t="str">
        <f>"15126014301"</f>
        <v>15126014301</v>
      </c>
      <c r="C161" s="13" t="s">
        <v>64</v>
      </c>
      <c r="D161" s="14" t="str">
        <f>"乌云图娅"</f>
        <v>乌云图娅</v>
      </c>
      <c r="E161" s="15">
        <v>72.95</v>
      </c>
      <c r="F161" s="15">
        <f t="shared" si="13"/>
        <v>43.77</v>
      </c>
      <c r="G161" s="12">
        <v>2.5</v>
      </c>
      <c r="H161" s="12"/>
      <c r="I161" s="15">
        <f t="shared" si="14"/>
        <v>46.27</v>
      </c>
      <c r="J161" s="15">
        <v>85.34</v>
      </c>
      <c r="K161" s="15">
        <f t="shared" si="16"/>
        <v>34.136</v>
      </c>
      <c r="L161" s="15">
        <f t="shared" si="17"/>
        <v>80.406</v>
      </c>
      <c r="M161" s="12">
        <v>1</v>
      </c>
    </row>
    <row r="162" s="2" customFormat="1" ht="24" customHeight="1" spans="1:13">
      <c r="A162" s="11">
        <v>160</v>
      </c>
      <c r="B162" s="11" t="str">
        <f>"15126014305"</f>
        <v>15126014305</v>
      </c>
      <c r="C162" s="16" t="s">
        <v>64</v>
      </c>
      <c r="D162" s="7" t="str">
        <f>"阿若汗"</f>
        <v>阿若汗</v>
      </c>
      <c r="E162" s="17">
        <v>49.72</v>
      </c>
      <c r="F162" s="17">
        <f t="shared" si="13"/>
        <v>29.832</v>
      </c>
      <c r="G162" s="11">
        <v>2.5</v>
      </c>
      <c r="H162" s="11"/>
      <c r="I162" s="17">
        <f t="shared" si="14"/>
        <v>32.332</v>
      </c>
      <c r="J162" s="17">
        <v>78.1</v>
      </c>
      <c r="K162" s="17">
        <f t="shared" si="16"/>
        <v>31.24</v>
      </c>
      <c r="L162" s="17">
        <f t="shared" si="17"/>
        <v>63.572</v>
      </c>
      <c r="M162" s="11">
        <v>2</v>
      </c>
    </row>
    <row r="163" s="2" customFormat="1" ht="24" customHeight="1" spans="1:13">
      <c r="A163" s="11">
        <v>161</v>
      </c>
      <c r="B163" s="11" t="str">
        <f>"15126014302"</f>
        <v>15126014302</v>
      </c>
      <c r="C163" s="16" t="s">
        <v>64</v>
      </c>
      <c r="D163" s="7" t="str">
        <f>"萨茹拉图雅"</f>
        <v>萨茹拉图雅</v>
      </c>
      <c r="E163" s="17">
        <v>45.81</v>
      </c>
      <c r="F163" s="17">
        <f t="shared" si="13"/>
        <v>27.486</v>
      </c>
      <c r="G163" s="11">
        <v>2.5</v>
      </c>
      <c r="H163" s="11"/>
      <c r="I163" s="17">
        <f t="shared" si="14"/>
        <v>29.986</v>
      </c>
      <c r="J163" s="17">
        <v>81.04</v>
      </c>
      <c r="K163" s="17">
        <f t="shared" si="16"/>
        <v>32.416</v>
      </c>
      <c r="L163" s="17">
        <f t="shared" si="17"/>
        <v>62.402</v>
      </c>
      <c r="M163" s="11">
        <v>3</v>
      </c>
    </row>
    <row r="164" s="2" customFormat="1" ht="24" customHeight="1" spans="1:13">
      <c r="A164" s="11">
        <v>162</v>
      </c>
      <c r="B164" s="12" t="str">
        <f>"15127014502"</f>
        <v>15127014502</v>
      </c>
      <c r="C164" s="13" t="s">
        <v>65</v>
      </c>
      <c r="D164" s="14" t="str">
        <f>"乌音嘎"</f>
        <v>乌音嘎</v>
      </c>
      <c r="E164" s="15">
        <v>77.94</v>
      </c>
      <c r="F164" s="15">
        <f t="shared" si="13"/>
        <v>46.764</v>
      </c>
      <c r="G164" s="12">
        <v>2.5</v>
      </c>
      <c r="H164" s="12"/>
      <c r="I164" s="15">
        <f t="shared" si="14"/>
        <v>49.264</v>
      </c>
      <c r="J164" s="15">
        <v>72</v>
      </c>
      <c r="K164" s="15">
        <f t="shared" si="16"/>
        <v>28.8</v>
      </c>
      <c r="L164" s="15">
        <f t="shared" si="17"/>
        <v>78.064</v>
      </c>
      <c r="M164" s="12">
        <v>1</v>
      </c>
    </row>
    <row r="165" s="2" customFormat="1" ht="24" customHeight="1" spans="1:13">
      <c r="A165" s="11">
        <v>163</v>
      </c>
      <c r="B165" s="11" t="str">
        <f>"15127014512"</f>
        <v>15127014512</v>
      </c>
      <c r="C165" s="16" t="s">
        <v>65</v>
      </c>
      <c r="D165" s="7" t="s">
        <v>66</v>
      </c>
      <c r="E165" s="17">
        <v>76.43</v>
      </c>
      <c r="F165" s="17">
        <f t="shared" si="13"/>
        <v>45.858</v>
      </c>
      <c r="G165" s="11">
        <v>2.5</v>
      </c>
      <c r="H165" s="11"/>
      <c r="I165" s="17">
        <f t="shared" si="14"/>
        <v>48.358</v>
      </c>
      <c r="J165" s="17">
        <v>73.6</v>
      </c>
      <c r="K165" s="17">
        <f t="shared" si="16"/>
        <v>29.44</v>
      </c>
      <c r="L165" s="17">
        <f t="shared" si="17"/>
        <v>77.798</v>
      </c>
      <c r="M165" s="11">
        <v>2</v>
      </c>
    </row>
    <row r="166" s="2" customFormat="1" ht="24" customHeight="1" spans="1:13">
      <c r="A166" s="11">
        <v>164</v>
      </c>
      <c r="B166" s="11" t="str">
        <f>"15127014508"</f>
        <v>15127014508</v>
      </c>
      <c r="C166" s="16" t="s">
        <v>65</v>
      </c>
      <c r="D166" s="7" t="str">
        <f>"秦白"</f>
        <v>秦白</v>
      </c>
      <c r="E166" s="17">
        <v>70.13</v>
      </c>
      <c r="F166" s="17">
        <f t="shared" si="13"/>
        <v>42.078</v>
      </c>
      <c r="G166" s="11">
        <v>2.5</v>
      </c>
      <c r="H166" s="11"/>
      <c r="I166" s="17">
        <f t="shared" si="14"/>
        <v>44.578</v>
      </c>
      <c r="J166" s="17">
        <v>69.4</v>
      </c>
      <c r="K166" s="17">
        <f t="shared" si="16"/>
        <v>27.76</v>
      </c>
      <c r="L166" s="17">
        <f t="shared" si="17"/>
        <v>72.338</v>
      </c>
      <c r="M166" s="11">
        <v>3</v>
      </c>
    </row>
    <row r="167" s="2" customFormat="1" ht="24" customHeight="1" spans="1:13">
      <c r="A167" s="11">
        <v>165</v>
      </c>
      <c r="B167" s="12" t="str">
        <f>"15128014706"</f>
        <v>15128014706</v>
      </c>
      <c r="C167" s="13" t="s">
        <v>67</v>
      </c>
      <c r="D167" s="14" t="str">
        <f>"格希格图"</f>
        <v>格希格图</v>
      </c>
      <c r="E167" s="15">
        <v>54.96</v>
      </c>
      <c r="F167" s="15">
        <f t="shared" si="13"/>
        <v>32.976</v>
      </c>
      <c r="G167" s="12">
        <v>2.5</v>
      </c>
      <c r="H167" s="12"/>
      <c r="I167" s="15">
        <f t="shared" si="14"/>
        <v>35.476</v>
      </c>
      <c r="J167" s="15">
        <v>74.79</v>
      </c>
      <c r="K167" s="15">
        <f t="shared" si="16"/>
        <v>29.916</v>
      </c>
      <c r="L167" s="15">
        <f t="shared" si="17"/>
        <v>65.392</v>
      </c>
      <c r="M167" s="12">
        <v>1</v>
      </c>
    </row>
    <row r="168" s="2" customFormat="1" ht="24" customHeight="1" spans="1:13">
      <c r="A168" s="11">
        <v>166</v>
      </c>
      <c r="B168" s="12" t="str">
        <f>"15128014701"</f>
        <v>15128014701</v>
      </c>
      <c r="C168" s="13" t="s">
        <v>67</v>
      </c>
      <c r="D168" s="14" t="str">
        <f>"旭日干"</f>
        <v>旭日干</v>
      </c>
      <c r="E168" s="15">
        <v>58.08</v>
      </c>
      <c r="F168" s="15">
        <f t="shared" si="13"/>
        <v>34.848</v>
      </c>
      <c r="G168" s="12">
        <v>2.5</v>
      </c>
      <c r="H168" s="12"/>
      <c r="I168" s="15">
        <f t="shared" si="14"/>
        <v>37.348</v>
      </c>
      <c r="J168" s="15">
        <v>64.42</v>
      </c>
      <c r="K168" s="15">
        <f t="shared" si="16"/>
        <v>25.768</v>
      </c>
      <c r="L168" s="15">
        <f t="shared" si="17"/>
        <v>63.116</v>
      </c>
      <c r="M168" s="12">
        <v>2</v>
      </c>
    </row>
    <row r="169" s="2" customFormat="1" ht="24" customHeight="1" spans="1:13">
      <c r="A169" s="11">
        <v>167</v>
      </c>
      <c r="B169" s="11" t="str">
        <f>"15128014710"</f>
        <v>15128014710</v>
      </c>
      <c r="C169" s="16" t="s">
        <v>67</v>
      </c>
      <c r="D169" s="7" t="str">
        <f>"巴哈日乐"</f>
        <v>巴哈日乐</v>
      </c>
      <c r="E169" s="17">
        <v>51.52</v>
      </c>
      <c r="F169" s="17">
        <f t="shared" si="13"/>
        <v>30.912</v>
      </c>
      <c r="G169" s="11">
        <v>2.5</v>
      </c>
      <c r="H169" s="11"/>
      <c r="I169" s="17">
        <f t="shared" si="14"/>
        <v>33.412</v>
      </c>
      <c r="J169" s="17">
        <v>67.39</v>
      </c>
      <c r="K169" s="17">
        <f t="shared" si="16"/>
        <v>26.956</v>
      </c>
      <c r="L169" s="17">
        <f t="shared" si="17"/>
        <v>60.368</v>
      </c>
      <c r="M169" s="11">
        <v>3</v>
      </c>
    </row>
    <row r="170" s="2" customFormat="1" ht="24" customHeight="1" spans="1:13">
      <c r="A170" s="11">
        <v>168</v>
      </c>
      <c r="B170" s="11" t="str">
        <f>"15128014707"</f>
        <v>15128014707</v>
      </c>
      <c r="C170" s="16" t="s">
        <v>67</v>
      </c>
      <c r="D170" s="7" t="str">
        <f>"朝鲁门"</f>
        <v>朝鲁门</v>
      </c>
      <c r="E170" s="17">
        <v>51.44</v>
      </c>
      <c r="F170" s="17">
        <f t="shared" si="13"/>
        <v>30.864</v>
      </c>
      <c r="G170" s="11">
        <v>2.5</v>
      </c>
      <c r="H170" s="11"/>
      <c r="I170" s="17">
        <f t="shared" si="14"/>
        <v>33.364</v>
      </c>
      <c r="J170" s="17">
        <v>66.45</v>
      </c>
      <c r="K170" s="17">
        <f t="shared" si="16"/>
        <v>26.58</v>
      </c>
      <c r="L170" s="17">
        <f t="shared" si="17"/>
        <v>59.944</v>
      </c>
      <c r="M170" s="11">
        <v>4</v>
      </c>
    </row>
    <row r="171" s="2" customFormat="1" ht="24" customHeight="1" spans="1:13">
      <c r="A171" s="11">
        <v>169</v>
      </c>
      <c r="B171" s="11" t="str">
        <f>"15128014712"</f>
        <v>15128014712</v>
      </c>
      <c r="C171" s="16" t="s">
        <v>67</v>
      </c>
      <c r="D171" s="7" t="str">
        <f>"赛西雅图"</f>
        <v>赛西雅图</v>
      </c>
      <c r="E171" s="17">
        <v>53.96</v>
      </c>
      <c r="F171" s="17">
        <f t="shared" si="13"/>
        <v>32.376</v>
      </c>
      <c r="G171" s="11">
        <v>2.5</v>
      </c>
      <c r="H171" s="11"/>
      <c r="I171" s="17">
        <f t="shared" si="14"/>
        <v>34.876</v>
      </c>
      <c r="J171" s="17">
        <v>62.2</v>
      </c>
      <c r="K171" s="17">
        <f t="shared" si="16"/>
        <v>24.88</v>
      </c>
      <c r="L171" s="17">
        <f t="shared" si="17"/>
        <v>59.756</v>
      </c>
      <c r="M171" s="11">
        <v>5</v>
      </c>
    </row>
    <row r="172" s="2" customFormat="1" ht="24" customHeight="1" spans="1:13">
      <c r="A172" s="11">
        <v>170</v>
      </c>
      <c r="B172" s="11" t="str">
        <f>"15128014704"</f>
        <v>15128014704</v>
      </c>
      <c r="C172" s="16" t="s">
        <v>67</v>
      </c>
      <c r="D172" s="7" t="str">
        <f>"乌东吉雅"</f>
        <v>乌东吉雅</v>
      </c>
      <c r="E172" s="17">
        <v>54.04</v>
      </c>
      <c r="F172" s="17">
        <f t="shared" si="13"/>
        <v>32.424</v>
      </c>
      <c r="G172" s="11">
        <v>2.5</v>
      </c>
      <c r="H172" s="11"/>
      <c r="I172" s="17">
        <f t="shared" si="14"/>
        <v>34.924</v>
      </c>
      <c r="J172" s="17">
        <v>61.55</v>
      </c>
      <c r="K172" s="17">
        <f t="shared" si="16"/>
        <v>24.62</v>
      </c>
      <c r="L172" s="17">
        <f t="shared" si="17"/>
        <v>59.544</v>
      </c>
      <c r="M172" s="11">
        <v>6</v>
      </c>
    </row>
    <row r="173" s="2" customFormat="1" ht="24" customHeight="1" spans="1:13">
      <c r="A173" s="11">
        <v>171</v>
      </c>
      <c r="B173" s="12" t="str">
        <f>"15130021426"</f>
        <v>15130021426</v>
      </c>
      <c r="C173" s="13" t="s">
        <v>68</v>
      </c>
      <c r="D173" s="14" t="str">
        <f>"娜音花"</f>
        <v>娜音花</v>
      </c>
      <c r="E173" s="15">
        <v>66.2</v>
      </c>
      <c r="F173" s="15">
        <f t="shared" si="13"/>
        <v>39.72</v>
      </c>
      <c r="G173" s="12">
        <v>2.5</v>
      </c>
      <c r="H173" s="12"/>
      <c r="I173" s="15">
        <f t="shared" si="14"/>
        <v>42.22</v>
      </c>
      <c r="J173" s="15">
        <v>90.34</v>
      </c>
      <c r="K173" s="15">
        <f t="shared" si="16"/>
        <v>36.136</v>
      </c>
      <c r="L173" s="15">
        <f t="shared" si="17"/>
        <v>78.356</v>
      </c>
      <c r="M173" s="12">
        <v>1</v>
      </c>
    </row>
    <row r="174" s="2" customFormat="1" ht="24" customHeight="1" spans="1:13">
      <c r="A174" s="11">
        <v>172</v>
      </c>
      <c r="B174" s="12" t="str">
        <f>"15130021417"</f>
        <v>15130021417</v>
      </c>
      <c r="C174" s="13" t="s">
        <v>68</v>
      </c>
      <c r="D174" s="14" t="str">
        <f>"伊日归"</f>
        <v>伊日归</v>
      </c>
      <c r="E174" s="15">
        <v>60.09</v>
      </c>
      <c r="F174" s="15">
        <f t="shared" si="13"/>
        <v>36.054</v>
      </c>
      <c r="G174" s="12">
        <v>2.5</v>
      </c>
      <c r="H174" s="12"/>
      <c r="I174" s="15">
        <f t="shared" si="14"/>
        <v>38.554</v>
      </c>
      <c r="J174" s="15">
        <v>86.68</v>
      </c>
      <c r="K174" s="15">
        <f t="shared" si="16"/>
        <v>34.672</v>
      </c>
      <c r="L174" s="15">
        <f t="shared" si="17"/>
        <v>73.226</v>
      </c>
      <c r="M174" s="12">
        <v>2</v>
      </c>
    </row>
    <row r="175" s="2" customFormat="1" ht="24" customHeight="1" spans="1:13">
      <c r="A175" s="11">
        <v>173</v>
      </c>
      <c r="B175" s="12" t="str">
        <f>"15130021402"</f>
        <v>15130021402</v>
      </c>
      <c r="C175" s="13" t="s">
        <v>68</v>
      </c>
      <c r="D175" s="14" t="str">
        <f>"巴音"</f>
        <v>巴音</v>
      </c>
      <c r="E175" s="15">
        <v>62.03</v>
      </c>
      <c r="F175" s="15">
        <f t="shared" si="13"/>
        <v>37.218</v>
      </c>
      <c r="G175" s="12">
        <v>2.5</v>
      </c>
      <c r="H175" s="12"/>
      <c r="I175" s="15">
        <f t="shared" si="14"/>
        <v>39.718</v>
      </c>
      <c r="J175" s="15">
        <v>75.84</v>
      </c>
      <c r="K175" s="15">
        <f t="shared" si="16"/>
        <v>30.336</v>
      </c>
      <c r="L175" s="15">
        <f t="shared" si="17"/>
        <v>70.054</v>
      </c>
      <c r="M175" s="12">
        <v>3</v>
      </c>
    </row>
    <row r="176" s="2" customFormat="1" ht="24" customHeight="1" spans="1:13">
      <c r="A176" s="11">
        <v>174</v>
      </c>
      <c r="B176" s="12" t="str">
        <f>"15130021420"</f>
        <v>15130021420</v>
      </c>
      <c r="C176" s="13" t="s">
        <v>68</v>
      </c>
      <c r="D176" s="14" t="str">
        <f>"查利干"</f>
        <v>查利干</v>
      </c>
      <c r="E176" s="15">
        <v>56.89</v>
      </c>
      <c r="F176" s="15">
        <f t="shared" si="13"/>
        <v>34.134</v>
      </c>
      <c r="G176" s="12">
        <v>2.5</v>
      </c>
      <c r="H176" s="12"/>
      <c r="I176" s="15">
        <f t="shared" si="14"/>
        <v>36.634</v>
      </c>
      <c r="J176" s="15">
        <v>81.94</v>
      </c>
      <c r="K176" s="15">
        <f t="shared" si="16"/>
        <v>32.776</v>
      </c>
      <c r="L176" s="15">
        <f t="shared" si="17"/>
        <v>69.41</v>
      </c>
      <c r="M176" s="12">
        <v>4</v>
      </c>
    </row>
    <row r="177" s="2" customFormat="1" ht="24" customHeight="1" spans="1:13">
      <c r="A177" s="11">
        <v>175</v>
      </c>
      <c r="B177" s="12" t="str">
        <f>"15130021309"</f>
        <v>15130021309</v>
      </c>
      <c r="C177" s="13" t="s">
        <v>68</v>
      </c>
      <c r="D177" s="14" t="str">
        <f>"柴丽根"</f>
        <v>柴丽根</v>
      </c>
      <c r="E177" s="15">
        <v>62.4</v>
      </c>
      <c r="F177" s="15">
        <f t="shared" si="13"/>
        <v>37.44</v>
      </c>
      <c r="G177" s="12">
        <v>2.5</v>
      </c>
      <c r="H177" s="12"/>
      <c r="I177" s="15">
        <f t="shared" si="14"/>
        <v>39.94</v>
      </c>
      <c r="J177" s="15">
        <v>73.32</v>
      </c>
      <c r="K177" s="15">
        <f t="shared" si="16"/>
        <v>29.328</v>
      </c>
      <c r="L177" s="15">
        <f t="shared" si="17"/>
        <v>69.268</v>
      </c>
      <c r="M177" s="12">
        <v>5</v>
      </c>
    </row>
    <row r="178" s="2" customFormat="1" ht="24" customHeight="1" spans="1:13">
      <c r="A178" s="11">
        <v>176</v>
      </c>
      <c r="B178" s="12" t="str">
        <f>"15130021403"</f>
        <v>15130021403</v>
      </c>
      <c r="C178" s="13" t="s">
        <v>68</v>
      </c>
      <c r="D178" s="14" t="str">
        <f>"伊日贵"</f>
        <v>伊日贵</v>
      </c>
      <c r="E178" s="15">
        <v>57.42</v>
      </c>
      <c r="F178" s="15">
        <f t="shared" si="13"/>
        <v>34.452</v>
      </c>
      <c r="G178" s="12">
        <v>2.5</v>
      </c>
      <c r="H178" s="12"/>
      <c r="I178" s="15">
        <f t="shared" si="14"/>
        <v>36.952</v>
      </c>
      <c r="J178" s="15">
        <v>80.78</v>
      </c>
      <c r="K178" s="15">
        <f t="shared" si="16"/>
        <v>32.312</v>
      </c>
      <c r="L178" s="15">
        <f t="shared" si="17"/>
        <v>69.264</v>
      </c>
      <c r="M178" s="12">
        <v>6</v>
      </c>
    </row>
    <row r="179" s="2" customFormat="1" ht="24" customHeight="1" spans="1:13">
      <c r="A179" s="11">
        <v>177</v>
      </c>
      <c r="B179" s="11" t="str">
        <f>"15130021416"</f>
        <v>15130021416</v>
      </c>
      <c r="C179" s="16" t="s">
        <v>68</v>
      </c>
      <c r="D179" s="7" t="str">
        <f>"乌云塔娜"</f>
        <v>乌云塔娜</v>
      </c>
      <c r="E179" s="17">
        <v>55.52</v>
      </c>
      <c r="F179" s="17">
        <f t="shared" si="13"/>
        <v>33.312</v>
      </c>
      <c r="G179" s="11">
        <v>2.5</v>
      </c>
      <c r="H179" s="11"/>
      <c r="I179" s="17">
        <f t="shared" si="14"/>
        <v>35.812</v>
      </c>
      <c r="J179" s="17">
        <v>82.38</v>
      </c>
      <c r="K179" s="17">
        <f t="shared" si="16"/>
        <v>32.952</v>
      </c>
      <c r="L179" s="17">
        <f t="shared" si="17"/>
        <v>68.764</v>
      </c>
      <c r="M179" s="11">
        <v>7</v>
      </c>
    </row>
    <row r="180" s="2" customFormat="1" ht="24" customHeight="1" spans="1:13">
      <c r="A180" s="11">
        <v>178</v>
      </c>
      <c r="B180" s="11" t="str">
        <f>"15130021410"</f>
        <v>15130021410</v>
      </c>
      <c r="C180" s="16" t="s">
        <v>68</v>
      </c>
      <c r="D180" s="7" t="str">
        <f>"查松敖日格乐"</f>
        <v>查松敖日格乐</v>
      </c>
      <c r="E180" s="17">
        <v>60.25</v>
      </c>
      <c r="F180" s="17">
        <f t="shared" si="13"/>
        <v>36.15</v>
      </c>
      <c r="G180" s="11">
        <v>2.5</v>
      </c>
      <c r="H180" s="11"/>
      <c r="I180" s="17">
        <f t="shared" si="14"/>
        <v>38.65</v>
      </c>
      <c r="J180" s="17">
        <v>71.7</v>
      </c>
      <c r="K180" s="17">
        <f t="shared" si="16"/>
        <v>28.68</v>
      </c>
      <c r="L180" s="17">
        <f t="shared" si="17"/>
        <v>67.33</v>
      </c>
      <c r="M180" s="11">
        <v>8</v>
      </c>
    </row>
    <row r="181" s="2" customFormat="1" ht="24" customHeight="1" spans="1:13">
      <c r="A181" s="11">
        <v>179</v>
      </c>
      <c r="B181" s="11" t="str">
        <f>"15130021414"</f>
        <v>15130021414</v>
      </c>
      <c r="C181" s="16" t="s">
        <v>68</v>
      </c>
      <c r="D181" s="7" t="str">
        <f>"呼斯乐"</f>
        <v>呼斯乐</v>
      </c>
      <c r="E181" s="17">
        <v>56.85</v>
      </c>
      <c r="F181" s="17">
        <f t="shared" si="13"/>
        <v>34.11</v>
      </c>
      <c r="G181" s="11">
        <v>2.5</v>
      </c>
      <c r="H181" s="11"/>
      <c r="I181" s="17">
        <f t="shared" si="14"/>
        <v>36.61</v>
      </c>
      <c r="J181" s="17">
        <v>76.38</v>
      </c>
      <c r="K181" s="17">
        <f t="shared" si="16"/>
        <v>30.552</v>
      </c>
      <c r="L181" s="17">
        <f t="shared" si="17"/>
        <v>67.162</v>
      </c>
      <c r="M181" s="11">
        <v>9</v>
      </c>
    </row>
    <row r="182" s="2" customFormat="1" ht="24" customHeight="1" spans="1:13">
      <c r="A182" s="11">
        <v>180</v>
      </c>
      <c r="B182" s="11" t="str">
        <f>"15130021302"</f>
        <v>15130021302</v>
      </c>
      <c r="C182" s="16" t="s">
        <v>68</v>
      </c>
      <c r="D182" s="7" t="str">
        <f>"苏楞嘎"</f>
        <v>苏楞嘎</v>
      </c>
      <c r="E182" s="17">
        <v>58.35</v>
      </c>
      <c r="F182" s="17">
        <f t="shared" si="13"/>
        <v>35.01</v>
      </c>
      <c r="G182" s="11">
        <v>2.5</v>
      </c>
      <c r="H182" s="11"/>
      <c r="I182" s="17">
        <f t="shared" si="14"/>
        <v>37.51</v>
      </c>
      <c r="J182" s="17">
        <v>72.74</v>
      </c>
      <c r="K182" s="17">
        <f t="shared" si="16"/>
        <v>29.096</v>
      </c>
      <c r="L182" s="17">
        <f t="shared" si="17"/>
        <v>66.606</v>
      </c>
      <c r="M182" s="11">
        <v>10</v>
      </c>
    </row>
    <row r="183" s="2" customFormat="1" ht="24" customHeight="1" spans="1:13">
      <c r="A183" s="11">
        <v>181</v>
      </c>
      <c r="B183" s="11" t="str">
        <f>"15130021311"</f>
        <v>15130021311</v>
      </c>
      <c r="C183" s="16" t="s">
        <v>68</v>
      </c>
      <c r="D183" s="7" t="str">
        <f>"娜和雅"</f>
        <v>娜和雅</v>
      </c>
      <c r="E183" s="17">
        <v>59</v>
      </c>
      <c r="F183" s="17">
        <f t="shared" si="13"/>
        <v>35.4</v>
      </c>
      <c r="G183" s="11">
        <v>2.5</v>
      </c>
      <c r="H183" s="11"/>
      <c r="I183" s="17">
        <f t="shared" si="14"/>
        <v>37.9</v>
      </c>
      <c r="J183" s="17">
        <v>69.58</v>
      </c>
      <c r="K183" s="17">
        <f t="shared" si="16"/>
        <v>27.832</v>
      </c>
      <c r="L183" s="17">
        <f t="shared" si="17"/>
        <v>65.732</v>
      </c>
      <c r="M183" s="11">
        <v>11</v>
      </c>
    </row>
    <row r="184" s="2" customFormat="1" ht="24" customHeight="1" spans="1:13">
      <c r="A184" s="11">
        <v>182</v>
      </c>
      <c r="B184" s="11" t="str">
        <f>"15130021404"</f>
        <v>15130021404</v>
      </c>
      <c r="C184" s="16" t="s">
        <v>68</v>
      </c>
      <c r="D184" s="7" t="str">
        <f>"乌日恒"</f>
        <v>乌日恒</v>
      </c>
      <c r="E184" s="17">
        <v>56.52</v>
      </c>
      <c r="F184" s="17">
        <f t="shared" si="13"/>
        <v>33.912</v>
      </c>
      <c r="G184" s="11">
        <v>2.5</v>
      </c>
      <c r="H184" s="11"/>
      <c r="I184" s="17">
        <f t="shared" si="14"/>
        <v>36.412</v>
      </c>
      <c r="J184" s="17">
        <v>70.28</v>
      </c>
      <c r="K184" s="17">
        <f t="shared" si="16"/>
        <v>28.112</v>
      </c>
      <c r="L184" s="17">
        <f t="shared" si="17"/>
        <v>64.524</v>
      </c>
      <c r="M184" s="11">
        <v>12</v>
      </c>
    </row>
    <row r="185" s="2" customFormat="1" ht="24" customHeight="1" spans="1:13">
      <c r="A185" s="11">
        <v>183</v>
      </c>
      <c r="B185" s="12" t="str">
        <f>"15132020217"</f>
        <v>15132020217</v>
      </c>
      <c r="C185" s="13" t="s">
        <v>69</v>
      </c>
      <c r="D185" s="14" t="str">
        <f>"娜日苏"</f>
        <v>娜日苏</v>
      </c>
      <c r="E185" s="15">
        <v>79.75</v>
      </c>
      <c r="F185" s="15">
        <f t="shared" si="13"/>
        <v>47.85</v>
      </c>
      <c r="G185" s="12">
        <v>2.5</v>
      </c>
      <c r="H185" s="12"/>
      <c r="I185" s="15">
        <f t="shared" si="14"/>
        <v>50.35</v>
      </c>
      <c r="J185" s="15">
        <v>88.86</v>
      </c>
      <c r="K185" s="15">
        <f t="shared" si="16"/>
        <v>35.544</v>
      </c>
      <c r="L185" s="15">
        <f t="shared" ref="L185:L240" si="18">K185+I185</f>
        <v>85.894</v>
      </c>
      <c r="M185" s="12">
        <v>1</v>
      </c>
    </row>
    <row r="186" s="2" customFormat="1" ht="24" customHeight="1" spans="1:13">
      <c r="A186" s="11">
        <v>184</v>
      </c>
      <c r="B186" s="12" t="str">
        <f>"15132020823"</f>
        <v>15132020823</v>
      </c>
      <c r="C186" s="13" t="s">
        <v>69</v>
      </c>
      <c r="D186" s="14" t="str">
        <f>"张逸帆"</f>
        <v>张逸帆</v>
      </c>
      <c r="E186" s="15">
        <v>84.49</v>
      </c>
      <c r="F186" s="15">
        <f t="shared" si="13"/>
        <v>50.694</v>
      </c>
      <c r="G186" s="12"/>
      <c r="H186" s="12"/>
      <c r="I186" s="15">
        <f t="shared" si="14"/>
        <v>50.694</v>
      </c>
      <c r="J186" s="15">
        <v>83</v>
      </c>
      <c r="K186" s="15">
        <f t="shared" si="16"/>
        <v>33.2</v>
      </c>
      <c r="L186" s="15">
        <f t="shared" si="18"/>
        <v>83.894</v>
      </c>
      <c r="M186" s="12">
        <v>2</v>
      </c>
    </row>
    <row r="187" s="2" customFormat="1" ht="24" customHeight="1" spans="1:13">
      <c r="A187" s="11">
        <v>185</v>
      </c>
      <c r="B187" s="12" t="str">
        <f>"15132020206"</f>
        <v>15132020206</v>
      </c>
      <c r="C187" s="13" t="s">
        <v>69</v>
      </c>
      <c r="D187" s="14" t="str">
        <f>"牛雅萱"</f>
        <v>牛雅萱</v>
      </c>
      <c r="E187" s="15">
        <v>81.55</v>
      </c>
      <c r="F187" s="15">
        <f t="shared" si="13"/>
        <v>48.93</v>
      </c>
      <c r="G187" s="12">
        <v>2.5</v>
      </c>
      <c r="H187" s="12"/>
      <c r="I187" s="15">
        <f t="shared" si="14"/>
        <v>51.43</v>
      </c>
      <c r="J187" s="15">
        <v>81</v>
      </c>
      <c r="K187" s="15">
        <f t="shared" si="16"/>
        <v>32.4</v>
      </c>
      <c r="L187" s="15">
        <f t="shared" si="18"/>
        <v>83.83</v>
      </c>
      <c r="M187" s="12">
        <v>3</v>
      </c>
    </row>
    <row r="188" s="2" customFormat="1" ht="24" customHeight="1" spans="1:13">
      <c r="A188" s="11">
        <v>186</v>
      </c>
      <c r="B188" s="12" t="str">
        <f>"15132020128"</f>
        <v>15132020128</v>
      </c>
      <c r="C188" s="13" t="s">
        <v>69</v>
      </c>
      <c r="D188" s="14" t="str">
        <f>"冯丹"</f>
        <v>冯丹</v>
      </c>
      <c r="E188" s="15">
        <v>81.79</v>
      </c>
      <c r="F188" s="15">
        <f t="shared" si="13"/>
        <v>49.074</v>
      </c>
      <c r="G188" s="12"/>
      <c r="H188" s="12"/>
      <c r="I188" s="15">
        <f t="shared" si="14"/>
        <v>49.074</v>
      </c>
      <c r="J188" s="15">
        <v>84.72</v>
      </c>
      <c r="K188" s="15">
        <f t="shared" si="16"/>
        <v>33.888</v>
      </c>
      <c r="L188" s="15">
        <f t="shared" si="18"/>
        <v>82.962</v>
      </c>
      <c r="M188" s="12">
        <v>4</v>
      </c>
    </row>
    <row r="189" s="2" customFormat="1" ht="24" customHeight="1" spans="1:13">
      <c r="A189" s="11">
        <v>187</v>
      </c>
      <c r="B189" s="12" t="str">
        <f>"15132020816"</f>
        <v>15132020816</v>
      </c>
      <c r="C189" s="13" t="s">
        <v>69</v>
      </c>
      <c r="D189" s="14" t="str">
        <f>"云景懋"</f>
        <v>云景懋</v>
      </c>
      <c r="E189" s="15">
        <v>81.42</v>
      </c>
      <c r="F189" s="15">
        <f t="shared" si="13"/>
        <v>48.852</v>
      </c>
      <c r="G189" s="12">
        <v>2.5</v>
      </c>
      <c r="H189" s="12"/>
      <c r="I189" s="15">
        <f t="shared" si="14"/>
        <v>51.352</v>
      </c>
      <c r="J189" s="15">
        <v>79.02</v>
      </c>
      <c r="K189" s="15">
        <f t="shared" si="16"/>
        <v>31.608</v>
      </c>
      <c r="L189" s="15">
        <f t="shared" si="18"/>
        <v>82.96</v>
      </c>
      <c r="M189" s="12">
        <v>5</v>
      </c>
    </row>
    <row r="190" s="2" customFormat="1" ht="24" customHeight="1" spans="1:13">
      <c r="A190" s="11">
        <v>188</v>
      </c>
      <c r="B190" s="12" t="str">
        <f>"15132020528"</f>
        <v>15132020528</v>
      </c>
      <c r="C190" s="13" t="s">
        <v>69</v>
      </c>
      <c r="D190" s="14" t="str">
        <f>"武娇"</f>
        <v>武娇</v>
      </c>
      <c r="E190" s="15">
        <v>84.74</v>
      </c>
      <c r="F190" s="15">
        <f t="shared" si="13"/>
        <v>50.844</v>
      </c>
      <c r="G190" s="12"/>
      <c r="H190" s="12"/>
      <c r="I190" s="15">
        <f t="shared" si="14"/>
        <v>50.844</v>
      </c>
      <c r="J190" s="15">
        <v>79.1</v>
      </c>
      <c r="K190" s="15">
        <f t="shared" si="16"/>
        <v>31.64</v>
      </c>
      <c r="L190" s="15">
        <f t="shared" si="18"/>
        <v>82.484</v>
      </c>
      <c r="M190" s="12">
        <v>6</v>
      </c>
    </row>
    <row r="191" s="2" customFormat="1" ht="24" customHeight="1" spans="1:13">
      <c r="A191" s="11">
        <v>189</v>
      </c>
      <c r="B191" s="12" t="str">
        <f>"15132020223"</f>
        <v>15132020223</v>
      </c>
      <c r="C191" s="13" t="s">
        <v>69</v>
      </c>
      <c r="D191" s="14" t="str">
        <f>"温凌宇"</f>
        <v>温凌宇</v>
      </c>
      <c r="E191" s="15">
        <v>86.93</v>
      </c>
      <c r="F191" s="15">
        <f t="shared" si="13"/>
        <v>52.158</v>
      </c>
      <c r="G191" s="12"/>
      <c r="H191" s="12"/>
      <c r="I191" s="15">
        <f t="shared" si="14"/>
        <v>52.158</v>
      </c>
      <c r="J191" s="15">
        <v>75.74</v>
      </c>
      <c r="K191" s="15">
        <f t="shared" si="16"/>
        <v>30.296</v>
      </c>
      <c r="L191" s="15">
        <f t="shared" si="18"/>
        <v>82.454</v>
      </c>
      <c r="M191" s="12">
        <v>7</v>
      </c>
    </row>
    <row r="192" s="2" customFormat="1" ht="24" customHeight="1" spans="1:13">
      <c r="A192" s="11">
        <v>190</v>
      </c>
      <c r="B192" s="12" t="str">
        <f>"15132020210"</f>
        <v>15132020210</v>
      </c>
      <c r="C192" s="13" t="s">
        <v>69</v>
      </c>
      <c r="D192" s="14" t="str">
        <f>"刘静"</f>
        <v>刘静</v>
      </c>
      <c r="E192" s="15">
        <v>82.96</v>
      </c>
      <c r="F192" s="15">
        <f t="shared" si="13"/>
        <v>49.776</v>
      </c>
      <c r="G192" s="12"/>
      <c r="H192" s="12"/>
      <c r="I192" s="15">
        <f t="shared" si="14"/>
        <v>49.776</v>
      </c>
      <c r="J192" s="15">
        <v>81.24</v>
      </c>
      <c r="K192" s="15">
        <f t="shared" si="16"/>
        <v>32.496</v>
      </c>
      <c r="L192" s="15">
        <f t="shared" si="18"/>
        <v>82.272</v>
      </c>
      <c r="M192" s="12">
        <v>8</v>
      </c>
    </row>
    <row r="193" s="2" customFormat="1" ht="24" customHeight="1" spans="1:13">
      <c r="A193" s="11">
        <v>191</v>
      </c>
      <c r="B193" s="12" t="str">
        <f>"15132020626"</f>
        <v>15132020626</v>
      </c>
      <c r="C193" s="13" t="s">
        <v>69</v>
      </c>
      <c r="D193" s="14" t="str">
        <f>"王亚丽"</f>
        <v>王亚丽</v>
      </c>
      <c r="E193" s="15">
        <v>82.06</v>
      </c>
      <c r="F193" s="15">
        <f t="shared" si="13"/>
        <v>49.236</v>
      </c>
      <c r="G193" s="12"/>
      <c r="H193" s="12">
        <v>1</v>
      </c>
      <c r="I193" s="15">
        <f t="shared" si="14"/>
        <v>50.236</v>
      </c>
      <c r="J193" s="15">
        <v>79.8</v>
      </c>
      <c r="K193" s="15">
        <f t="shared" si="16"/>
        <v>31.92</v>
      </c>
      <c r="L193" s="15">
        <f t="shared" si="18"/>
        <v>82.156</v>
      </c>
      <c r="M193" s="12">
        <v>9</v>
      </c>
    </row>
    <row r="194" s="2" customFormat="1" ht="24" customHeight="1" spans="1:13">
      <c r="A194" s="11">
        <v>192</v>
      </c>
      <c r="B194" s="12" t="str">
        <f>"15132020109"</f>
        <v>15132020109</v>
      </c>
      <c r="C194" s="13" t="s">
        <v>69</v>
      </c>
      <c r="D194" s="14" t="str">
        <f>"李敏"</f>
        <v>李敏</v>
      </c>
      <c r="E194" s="15">
        <v>83.08</v>
      </c>
      <c r="F194" s="15">
        <f t="shared" si="13"/>
        <v>49.848</v>
      </c>
      <c r="G194" s="12"/>
      <c r="H194" s="12"/>
      <c r="I194" s="15">
        <f t="shared" si="14"/>
        <v>49.848</v>
      </c>
      <c r="J194" s="15">
        <v>80.54</v>
      </c>
      <c r="K194" s="15">
        <f t="shared" si="16"/>
        <v>32.216</v>
      </c>
      <c r="L194" s="15">
        <f t="shared" si="18"/>
        <v>82.064</v>
      </c>
      <c r="M194" s="12">
        <v>10</v>
      </c>
    </row>
    <row r="195" s="2" customFormat="1" ht="24" customHeight="1" spans="1:13">
      <c r="A195" s="11">
        <v>193</v>
      </c>
      <c r="B195" s="12" t="str">
        <f>"15132020805"</f>
        <v>15132020805</v>
      </c>
      <c r="C195" s="13" t="s">
        <v>69</v>
      </c>
      <c r="D195" s="14" t="str">
        <f>"王琪文"</f>
        <v>王琪文</v>
      </c>
      <c r="E195" s="15">
        <v>81.16</v>
      </c>
      <c r="F195" s="15">
        <f t="shared" ref="F195:F240" si="19">E195*0.6</f>
        <v>48.696</v>
      </c>
      <c r="G195" s="12"/>
      <c r="H195" s="12"/>
      <c r="I195" s="15">
        <f t="shared" si="14"/>
        <v>48.696</v>
      </c>
      <c r="J195" s="15">
        <v>83.06</v>
      </c>
      <c r="K195" s="15">
        <f t="shared" si="16"/>
        <v>33.224</v>
      </c>
      <c r="L195" s="15">
        <f t="shared" si="18"/>
        <v>81.92</v>
      </c>
      <c r="M195" s="12">
        <v>11</v>
      </c>
    </row>
    <row r="196" s="2" customFormat="1" ht="24" customHeight="1" spans="1:13">
      <c r="A196" s="11">
        <v>194</v>
      </c>
      <c r="B196" s="12" t="str">
        <f>"15132020908"</f>
        <v>15132020908</v>
      </c>
      <c r="C196" s="13" t="s">
        <v>69</v>
      </c>
      <c r="D196" s="14" t="str">
        <f>"刘敏"</f>
        <v>刘敏</v>
      </c>
      <c r="E196" s="15">
        <v>80.51</v>
      </c>
      <c r="F196" s="15">
        <f t="shared" si="19"/>
        <v>48.306</v>
      </c>
      <c r="G196" s="12"/>
      <c r="H196" s="12"/>
      <c r="I196" s="15">
        <f t="shared" si="14"/>
        <v>48.306</v>
      </c>
      <c r="J196" s="15">
        <v>83.06</v>
      </c>
      <c r="K196" s="15">
        <f t="shared" si="16"/>
        <v>33.224</v>
      </c>
      <c r="L196" s="15">
        <f t="shared" si="18"/>
        <v>81.53</v>
      </c>
      <c r="M196" s="12">
        <v>12</v>
      </c>
    </row>
    <row r="197" s="2" customFormat="1" ht="24" customHeight="1" spans="1:13">
      <c r="A197" s="11">
        <v>195</v>
      </c>
      <c r="B197" s="12" t="str">
        <f>"15132020422"</f>
        <v>15132020422</v>
      </c>
      <c r="C197" s="13" t="s">
        <v>69</v>
      </c>
      <c r="D197" s="14" t="str">
        <f>"包雨柔"</f>
        <v>包雨柔</v>
      </c>
      <c r="E197" s="15">
        <v>81.14</v>
      </c>
      <c r="F197" s="15">
        <f t="shared" si="19"/>
        <v>48.684</v>
      </c>
      <c r="G197" s="12">
        <v>2.5</v>
      </c>
      <c r="H197" s="12"/>
      <c r="I197" s="15">
        <f t="shared" si="14"/>
        <v>51.184</v>
      </c>
      <c r="J197" s="15">
        <v>75.06</v>
      </c>
      <c r="K197" s="15">
        <f t="shared" si="16"/>
        <v>30.024</v>
      </c>
      <c r="L197" s="15">
        <f t="shared" si="18"/>
        <v>81.208</v>
      </c>
      <c r="M197" s="12">
        <v>13</v>
      </c>
    </row>
    <row r="198" s="2" customFormat="1" ht="24" customHeight="1" spans="1:13">
      <c r="A198" s="11">
        <v>196</v>
      </c>
      <c r="B198" s="12" t="str">
        <f>"15132020230"</f>
        <v>15132020230</v>
      </c>
      <c r="C198" s="13" t="s">
        <v>69</v>
      </c>
      <c r="D198" s="14" t="str">
        <f>"乌伊恒"</f>
        <v>乌伊恒</v>
      </c>
      <c r="E198" s="15">
        <v>76.68</v>
      </c>
      <c r="F198" s="15">
        <f t="shared" si="19"/>
        <v>46.008</v>
      </c>
      <c r="G198" s="12">
        <v>2.5</v>
      </c>
      <c r="H198" s="12"/>
      <c r="I198" s="15">
        <f t="shared" ref="I198:I240" si="20">SUM(F198:H198)</f>
        <v>48.508</v>
      </c>
      <c r="J198" s="15">
        <v>80.14</v>
      </c>
      <c r="K198" s="15">
        <f t="shared" si="16"/>
        <v>32.056</v>
      </c>
      <c r="L198" s="15">
        <f t="shared" si="18"/>
        <v>80.564</v>
      </c>
      <c r="M198" s="12">
        <v>14</v>
      </c>
    </row>
    <row r="199" s="2" customFormat="1" ht="24" customHeight="1" spans="1:13">
      <c r="A199" s="11">
        <v>197</v>
      </c>
      <c r="B199" s="12" t="str">
        <f>"15132020224"</f>
        <v>15132020224</v>
      </c>
      <c r="C199" s="13" t="s">
        <v>69</v>
      </c>
      <c r="D199" s="14" t="str">
        <f>"李敏"</f>
        <v>李敏</v>
      </c>
      <c r="E199" s="15">
        <v>81.8</v>
      </c>
      <c r="F199" s="15">
        <f t="shared" si="19"/>
        <v>49.08</v>
      </c>
      <c r="G199" s="12"/>
      <c r="H199" s="12"/>
      <c r="I199" s="15">
        <f t="shared" si="20"/>
        <v>49.08</v>
      </c>
      <c r="J199" s="15">
        <v>77.48</v>
      </c>
      <c r="K199" s="15">
        <f t="shared" si="16"/>
        <v>30.992</v>
      </c>
      <c r="L199" s="15">
        <f t="shared" si="18"/>
        <v>80.072</v>
      </c>
      <c r="M199" s="12">
        <v>15</v>
      </c>
    </row>
    <row r="200" s="2" customFormat="1" ht="24" customHeight="1" spans="1:13">
      <c r="A200" s="11">
        <v>198</v>
      </c>
      <c r="B200" s="12" t="str">
        <f>"15132020909"</f>
        <v>15132020909</v>
      </c>
      <c r="C200" s="13" t="s">
        <v>69</v>
      </c>
      <c r="D200" s="14" t="str">
        <f>"杨慧"</f>
        <v>杨慧</v>
      </c>
      <c r="E200" s="15">
        <v>81.55</v>
      </c>
      <c r="F200" s="15">
        <f t="shared" si="19"/>
        <v>48.93</v>
      </c>
      <c r="G200" s="12"/>
      <c r="H200" s="12"/>
      <c r="I200" s="15">
        <f t="shared" si="20"/>
        <v>48.93</v>
      </c>
      <c r="J200" s="15">
        <v>77.3</v>
      </c>
      <c r="K200" s="15">
        <f t="shared" si="16"/>
        <v>30.92</v>
      </c>
      <c r="L200" s="15">
        <f t="shared" si="18"/>
        <v>79.85</v>
      </c>
      <c r="M200" s="12">
        <v>16</v>
      </c>
    </row>
    <row r="201" s="2" customFormat="1" ht="24" customHeight="1" spans="1:13">
      <c r="A201" s="11">
        <v>199</v>
      </c>
      <c r="B201" s="11" t="str">
        <f>"15132020715"</f>
        <v>15132020715</v>
      </c>
      <c r="C201" s="16" t="s">
        <v>69</v>
      </c>
      <c r="D201" s="7" t="str">
        <f>"郭燕"</f>
        <v>郭燕</v>
      </c>
      <c r="E201" s="17">
        <v>81.56</v>
      </c>
      <c r="F201" s="17">
        <f t="shared" si="19"/>
        <v>48.936</v>
      </c>
      <c r="G201" s="11"/>
      <c r="H201" s="11"/>
      <c r="I201" s="17">
        <f t="shared" si="20"/>
        <v>48.936</v>
      </c>
      <c r="J201" s="17">
        <v>76.76</v>
      </c>
      <c r="K201" s="17">
        <f t="shared" si="16"/>
        <v>30.704</v>
      </c>
      <c r="L201" s="17">
        <f t="shared" si="18"/>
        <v>79.64</v>
      </c>
      <c r="M201" s="11">
        <v>17</v>
      </c>
    </row>
    <row r="202" s="2" customFormat="1" ht="24" customHeight="1" spans="1:13">
      <c r="A202" s="11">
        <v>200</v>
      </c>
      <c r="B202" s="11" t="str">
        <f>"15132020216"</f>
        <v>15132020216</v>
      </c>
      <c r="C202" s="16" t="s">
        <v>69</v>
      </c>
      <c r="D202" s="7" t="str">
        <f>"刘婷"</f>
        <v>刘婷</v>
      </c>
      <c r="E202" s="17">
        <v>81.94</v>
      </c>
      <c r="F202" s="17">
        <f t="shared" si="19"/>
        <v>49.164</v>
      </c>
      <c r="G202" s="11"/>
      <c r="H202" s="11"/>
      <c r="I202" s="17">
        <f t="shared" si="20"/>
        <v>49.164</v>
      </c>
      <c r="J202" s="17">
        <v>75.58</v>
      </c>
      <c r="K202" s="17">
        <f t="shared" si="16"/>
        <v>30.232</v>
      </c>
      <c r="L202" s="17">
        <f t="shared" si="18"/>
        <v>79.396</v>
      </c>
      <c r="M202" s="11">
        <v>18</v>
      </c>
    </row>
    <row r="203" s="2" customFormat="1" ht="24" customHeight="1" spans="1:13">
      <c r="A203" s="11">
        <v>201</v>
      </c>
      <c r="B203" s="11" t="str">
        <f>"15132020720"</f>
        <v>15132020720</v>
      </c>
      <c r="C203" s="16" t="s">
        <v>69</v>
      </c>
      <c r="D203" s="7" t="str">
        <f>"杨丽"</f>
        <v>杨丽</v>
      </c>
      <c r="E203" s="17">
        <v>81.29</v>
      </c>
      <c r="F203" s="17">
        <f t="shared" si="19"/>
        <v>48.774</v>
      </c>
      <c r="G203" s="11"/>
      <c r="H203" s="11"/>
      <c r="I203" s="17">
        <f t="shared" si="20"/>
        <v>48.774</v>
      </c>
      <c r="J203" s="17">
        <v>76.42</v>
      </c>
      <c r="K203" s="17">
        <f t="shared" si="16"/>
        <v>30.568</v>
      </c>
      <c r="L203" s="17">
        <f t="shared" si="18"/>
        <v>79.342</v>
      </c>
      <c r="M203" s="11">
        <v>19</v>
      </c>
    </row>
    <row r="204" s="2" customFormat="1" ht="24" customHeight="1" spans="1:13">
      <c r="A204" s="11">
        <v>202</v>
      </c>
      <c r="B204" s="11" t="str">
        <f>"15132020630"</f>
        <v>15132020630</v>
      </c>
      <c r="C204" s="16" t="s">
        <v>69</v>
      </c>
      <c r="D204" s="7" t="str">
        <f>"王婷"</f>
        <v>王婷</v>
      </c>
      <c r="E204" s="17">
        <v>80.53</v>
      </c>
      <c r="F204" s="17">
        <f t="shared" si="19"/>
        <v>48.318</v>
      </c>
      <c r="G204" s="11"/>
      <c r="H204" s="11"/>
      <c r="I204" s="17">
        <f t="shared" si="20"/>
        <v>48.318</v>
      </c>
      <c r="J204" s="17">
        <v>77.26</v>
      </c>
      <c r="K204" s="17">
        <f t="shared" si="16"/>
        <v>30.904</v>
      </c>
      <c r="L204" s="17">
        <f t="shared" si="18"/>
        <v>79.222</v>
      </c>
      <c r="M204" s="11">
        <v>20</v>
      </c>
    </row>
    <row r="205" s="2" customFormat="1" ht="24" customHeight="1" spans="1:13">
      <c r="A205" s="11">
        <v>203</v>
      </c>
      <c r="B205" s="11" t="str">
        <f>"15132020629"</f>
        <v>15132020629</v>
      </c>
      <c r="C205" s="16" t="s">
        <v>69</v>
      </c>
      <c r="D205" s="7" t="str">
        <f>"吴榕"</f>
        <v>吴榕</v>
      </c>
      <c r="E205" s="17">
        <v>82.95</v>
      </c>
      <c r="F205" s="17">
        <f t="shared" si="19"/>
        <v>49.77</v>
      </c>
      <c r="G205" s="11">
        <v>2.5</v>
      </c>
      <c r="H205" s="11"/>
      <c r="I205" s="17">
        <f t="shared" si="20"/>
        <v>52.27</v>
      </c>
      <c r="J205" s="17">
        <v>67.02</v>
      </c>
      <c r="K205" s="17">
        <f t="shared" si="16"/>
        <v>26.808</v>
      </c>
      <c r="L205" s="17">
        <f t="shared" si="18"/>
        <v>79.078</v>
      </c>
      <c r="M205" s="11">
        <v>21</v>
      </c>
    </row>
    <row r="206" s="2" customFormat="1" ht="24" customHeight="1" spans="1:13">
      <c r="A206" s="11">
        <v>204</v>
      </c>
      <c r="B206" s="11" t="str">
        <f>"15132020114"</f>
        <v>15132020114</v>
      </c>
      <c r="C206" s="16" t="s">
        <v>69</v>
      </c>
      <c r="D206" s="7" t="str">
        <f>"王瑞"</f>
        <v>王瑞</v>
      </c>
      <c r="E206" s="17">
        <v>83.61</v>
      </c>
      <c r="F206" s="17">
        <f t="shared" si="19"/>
        <v>50.166</v>
      </c>
      <c r="G206" s="11"/>
      <c r="H206" s="11"/>
      <c r="I206" s="17">
        <f t="shared" si="20"/>
        <v>50.166</v>
      </c>
      <c r="J206" s="17">
        <v>71.68</v>
      </c>
      <c r="K206" s="17">
        <f t="shared" si="16"/>
        <v>28.672</v>
      </c>
      <c r="L206" s="17">
        <f t="shared" si="18"/>
        <v>78.838</v>
      </c>
      <c r="M206" s="11">
        <v>22</v>
      </c>
    </row>
    <row r="207" s="2" customFormat="1" ht="24" customHeight="1" spans="1:13">
      <c r="A207" s="11">
        <v>205</v>
      </c>
      <c r="B207" s="11" t="str">
        <f>"15132020613"</f>
        <v>15132020613</v>
      </c>
      <c r="C207" s="16" t="s">
        <v>69</v>
      </c>
      <c r="D207" s="7" t="str">
        <f>"牛慧"</f>
        <v>牛慧</v>
      </c>
      <c r="E207" s="17">
        <v>80.14</v>
      </c>
      <c r="F207" s="17">
        <f t="shared" si="19"/>
        <v>48.084</v>
      </c>
      <c r="G207" s="11"/>
      <c r="H207" s="11"/>
      <c r="I207" s="17">
        <f t="shared" si="20"/>
        <v>48.084</v>
      </c>
      <c r="J207" s="17">
        <v>76.4</v>
      </c>
      <c r="K207" s="17">
        <f t="shared" si="16"/>
        <v>30.56</v>
      </c>
      <c r="L207" s="17">
        <f t="shared" si="18"/>
        <v>78.644</v>
      </c>
      <c r="M207" s="11">
        <v>23</v>
      </c>
    </row>
    <row r="208" s="2" customFormat="1" ht="24" customHeight="1" spans="1:13">
      <c r="A208" s="11">
        <v>206</v>
      </c>
      <c r="B208" s="11" t="str">
        <f>"15132020313"</f>
        <v>15132020313</v>
      </c>
      <c r="C208" s="16" t="s">
        <v>69</v>
      </c>
      <c r="D208" s="7" t="str">
        <f>"张雪"</f>
        <v>张雪</v>
      </c>
      <c r="E208" s="17">
        <v>81.3</v>
      </c>
      <c r="F208" s="17">
        <f t="shared" si="19"/>
        <v>48.78</v>
      </c>
      <c r="G208" s="11"/>
      <c r="H208" s="11"/>
      <c r="I208" s="17">
        <f t="shared" si="20"/>
        <v>48.78</v>
      </c>
      <c r="J208" s="17">
        <v>74.5</v>
      </c>
      <c r="K208" s="17">
        <f t="shared" si="16"/>
        <v>29.8</v>
      </c>
      <c r="L208" s="17">
        <f t="shared" si="18"/>
        <v>78.58</v>
      </c>
      <c r="M208" s="11">
        <v>24</v>
      </c>
    </row>
    <row r="209" s="2" customFormat="1" ht="24" customHeight="1" spans="1:13">
      <c r="A209" s="11">
        <v>207</v>
      </c>
      <c r="B209" s="11" t="str">
        <f>"15132020525"</f>
        <v>15132020525</v>
      </c>
      <c r="C209" s="16" t="s">
        <v>69</v>
      </c>
      <c r="D209" s="7" t="str">
        <f>"张雨欣"</f>
        <v>张雨欣</v>
      </c>
      <c r="E209" s="17">
        <v>80.53</v>
      </c>
      <c r="F209" s="17">
        <f t="shared" si="19"/>
        <v>48.318</v>
      </c>
      <c r="G209" s="11"/>
      <c r="H209" s="11"/>
      <c r="I209" s="17">
        <f t="shared" si="20"/>
        <v>48.318</v>
      </c>
      <c r="J209" s="17">
        <v>75</v>
      </c>
      <c r="K209" s="17">
        <f t="shared" si="16"/>
        <v>30</v>
      </c>
      <c r="L209" s="17">
        <f t="shared" si="18"/>
        <v>78.318</v>
      </c>
      <c r="M209" s="11">
        <v>25</v>
      </c>
    </row>
    <row r="210" s="2" customFormat="1" ht="24" customHeight="1" spans="1:13">
      <c r="A210" s="11">
        <v>208</v>
      </c>
      <c r="B210" s="11" t="str">
        <f>"15132020608"</f>
        <v>15132020608</v>
      </c>
      <c r="C210" s="16" t="s">
        <v>69</v>
      </c>
      <c r="D210" s="7" t="str">
        <f>"陈梅"</f>
        <v>陈梅</v>
      </c>
      <c r="E210" s="17">
        <v>80.66</v>
      </c>
      <c r="F210" s="17">
        <f t="shared" si="19"/>
        <v>48.396</v>
      </c>
      <c r="G210" s="11"/>
      <c r="H210" s="11">
        <v>1.5</v>
      </c>
      <c r="I210" s="17">
        <f t="shared" si="20"/>
        <v>49.896</v>
      </c>
      <c r="J210" s="17">
        <v>70.1</v>
      </c>
      <c r="K210" s="17">
        <f t="shared" si="16"/>
        <v>28.04</v>
      </c>
      <c r="L210" s="17">
        <f t="shared" si="18"/>
        <v>77.936</v>
      </c>
      <c r="M210" s="11">
        <v>26</v>
      </c>
    </row>
    <row r="211" s="2" customFormat="1" ht="24" customHeight="1" spans="1:13">
      <c r="A211" s="11">
        <v>209</v>
      </c>
      <c r="B211" s="11" t="str">
        <f>"15132020208"</f>
        <v>15132020208</v>
      </c>
      <c r="C211" s="16" t="s">
        <v>69</v>
      </c>
      <c r="D211" s="7" t="str">
        <f>"高淑霞"</f>
        <v>高淑霞</v>
      </c>
      <c r="E211" s="17">
        <v>77.82</v>
      </c>
      <c r="F211" s="17">
        <f t="shared" si="19"/>
        <v>46.692</v>
      </c>
      <c r="G211" s="11">
        <v>2.5</v>
      </c>
      <c r="H211" s="11"/>
      <c r="I211" s="17">
        <f t="shared" si="20"/>
        <v>49.192</v>
      </c>
      <c r="J211" s="17">
        <v>71.6</v>
      </c>
      <c r="K211" s="17">
        <f t="shared" si="16"/>
        <v>28.64</v>
      </c>
      <c r="L211" s="17">
        <f t="shared" si="18"/>
        <v>77.832</v>
      </c>
      <c r="M211" s="11">
        <v>27</v>
      </c>
    </row>
    <row r="212" s="2" customFormat="1" ht="24" customHeight="1" spans="1:13">
      <c r="A212" s="11">
        <v>210</v>
      </c>
      <c r="B212" s="11" t="str">
        <f>"15132020110"</f>
        <v>15132020110</v>
      </c>
      <c r="C212" s="16" t="s">
        <v>69</v>
      </c>
      <c r="D212" s="7" t="str">
        <f>"张娜"</f>
        <v>张娜</v>
      </c>
      <c r="E212" s="17">
        <v>81.17</v>
      </c>
      <c r="F212" s="17">
        <f t="shared" si="19"/>
        <v>48.702</v>
      </c>
      <c r="G212" s="11"/>
      <c r="H212" s="11"/>
      <c r="I212" s="17">
        <f t="shared" si="20"/>
        <v>48.702</v>
      </c>
      <c r="J212" s="17">
        <v>72.2</v>
      </c>
      <c r="K212" s="17">
        <f t="shared" si="16"/>
        <v>28.88</v>
      </c>
      <c r="L212" s="17">
        <f t="shared" si="18"/>
        <v>77.582</v>
      </c>
      <c r="M212" s="11">
        <v>28</v>
      </c>
    </row>
    <row r="213" s="2" customFormat="1" ht="24" customHeight="1" spans="1:13">
      <c r="A213" s="11">
        <v>211</v>
      </c>
      <c r="B213" s="11" t="str">
        <f>"15132020220"</f>
        <v>15132020220</v>
      </c>
      <c r="C213" s="16" t="s">
        <v>69</v>
      </c>
      <c r="D213" s="7" t="str">
        <f>"折瑞"</f>
        <v>折瑞</v>
      </c>
      <c r="E213" s="17">
        <v>81.54</v>
      </c>
      <c r="F213" s="17">
        <f t="shared" si="19"/>
        <v>48.924</v>
      </c>
      <c r="G213" s="11"/>
      <c r="H213" s="11"/>
      <c r="I213" s="17">
        <f t="shared" si="20"/>
        <v>48.924</v>
      </c>
      <c r="J213" s="17">
        <v>71.54</v>
      </c>
      <c r="K213" s="17">
        <f t="shared" si="16"/>
        <v>28.616</v>
      </c>
      <c r="L213" s="17">
        <f t="shared" si="18"/>
        <v>77.54</v>
      </c>
      <c r="M213" s="11">
        <v>29</v>
      </c>
    </row>
    <row r="214" s="2" customFormat="1" ht="24" customHeight="1" spans="1:13">
      <c r="A214" s="11">
        <v>212</v>
      </c>
      <c r="B214" s="11" t="str">
        <f>"15132020826"</f>
        <v>15132020826</v>
      </c>
      <c r="C214" s="16" t="s">
        <v>69</v>
      </c>
      <c r="D214" s="7" t="str">
        <f>"李璐玥"</f>
        <v>李璐玥</v>
      </c>
      <c r="E214" s="17">
        <v>80.26</v>
      </c>
      <c r="F214" s="17">
        <f t="shared" si="19"/>
        <v>48.156</v>
      </c>
      <c r="G214" s="11"/>
      <c r="H214" s="11"/>
      <c r="I214" s="17">
        <f t="shared" si="20"/>
        <v>48.156</v>
      </c>
      <c r="J214" s="17">
        <v>73.14</v>
      </c>
      <c r="K214" s="17">
        <f t="shared" si="16"/>
        <v>29.256</v>
      </c>
      <c r="L214" s="17">
        <f t="shared" si="18"/>
        <v>77.412</v>
      </c>
      <c r="M214" s="11">
        <v>30</v>
      </c>
    </row>
    <row r="215" s="2" customFormat="1" ht="24" customHeight="1" spans="1:13">
      <c r="A215" s="11">
        <v>213</v>
      </c>
      <c r="B215" s="11" t="str">
        <f>"15132020214"</f>
        <v>15132020214</v>
      </c>
      <c r="C215" s="16" t="s">
        <v>69</v>
      </c>
      <c r="D215" s="7" t="str">
        <f>"卢琴"</f>
        <v>卢琴</v>
      </c>
      <c r="E215" s="17">
        <v>83.73</v>
      </c>
      <c r="F215" s="17">
        <f t="shared" si="19"/>
        <v>50.238</v>
      </c>
      <c r="G215" s="11"/>
      <c r="H215" s="11"/>
      <c r="I215" s="17">
        <f t="shared" si="20"/>
        <v>50.238</v>
      </c>
      <c r="J215" s="17">
        <v>66.98</v>
      </c>
      <c r="K215" s="17">
        <f t="shared" si="16"/>
        <v>26.792</v>
      </c>
      <c r="L215" s="17">
        <f t="shared" si="18"/>
        <v>77.03</v>
      </c>
      <c r="M215" s="11">
        <v>31</v>
      </c>
    </row>
    <row r="216" s="2" customFormat="1" ht="24" customHeight="1" spans="1:13">
      <c r="A216" s="11">
        <v>214</v>
      </c>
      <c r="B216" s="11" t="str">
        <f>"15132020117"</f>
        <v>15132020117</v>
      </c>
      <c r="C216" s="16" t="s">
        <v>69</v>
      </c>
      <c r="D216" s="7" t="str">
        <f>"薛庆"</f>
        <v>薛庆</v>
      </c>
      <c r="E216" s="17">
        <v>80.26</v>
      </c>
      <c r="F216" s="17">
        <f t="shared" si="19"/>
        <v>48.156</v>
      </c>
      <c r="G216" s="11"/>
      <c r="H216" s="11"/>
      <c r="I216" s="17">
        <f t="shared" si="20"/>
        <v>48.156</v>
      </c>
      <c r="J216" s="17">
        <v>70.98</v>
      </c>
      <c r="K216" s="17">
        <f t="shared" si="16"/>
        <v>28.392</v>
      </c>
      <c r="L216" s="17">
        <f t="shared" si="18"/>
        <v>76.548</v>
      </c>
      <c r="M216" s="11">
        <v>32</v>
      </c>
    </row>
    <row r="217" s="2" customFormat="1" ht="24" customHeight="1" spans="1:13">
      <c r="A217" s="11">
        <v>215</v>
      </c>
      <c r="B217" s="11" t="str">
        <f>"15132020129"</f>
        <v>15132020129</v>
      </c>
      <c r="C217" s="16" t="s">
        <v>69</v>
      </c>
      <c r="D217" s="7" t="str">
        <f>"闫娥"</f>
        <v>闫娥</v>
      </c>
      <c r="E217" s="17">
        <v>80.14</v>
      </c>
      <c r="F217" s="17">
        <f t="shared" si="19"/>
        <v>48.084</v>
      </c>
      <c r="G217" s="11"/>
      <c r="H217" s="11"/>
      <c r="I217" s="17">
        <f t="shared" si="20"/>
        <v>48.084</v>
      </c>
      <c r="J217" s="17">
        <v>69.14</v>
      </c>
      <c r="K217" s="17">
        <f t="shared" si="16"/>
        <v>27.656</v>
      </c>
      <c r="L217" s="17">
        <f t="shared" si="18"/>
        <v>75.74</v>
      </c>
      <c r="M217" s="11">
        <v>33</v>
      </c>
    </row>
    <row r="218" s="2" customFormat="1" ht="24" customHeight="1" spans="1:13">
      <c r="A218" s="11">
        <v>216</v>
      </c>
      <c r="B218" s="12" t="str">
        <f>"15133021107"</f>
        <v>15133021107</v>
      </c>
      <c r="C218" s="13" t="s">
        <v>70</v>
      </c>
      <c r="D218" s="14" t="str">
        <f>"闫怡赫"</f>
        <v>闫怡赫</v>
      </c>
      <c r="E218" s="15">
        <v>85.27</v>
      </c>
      <c r="F218" s="15">
        <f t="shared" si="19"/>
        <v>51.162</v>
      </c>
      <c r="G218" s="12"/>
      <c r="H218" s="12"/>
      <c r="I218" s="15">
        <f t="shared" si="20"/>
        <v>51.162</v>
      </c>
      <c r="J218" s="15">
        <v>86.1</v>
      </c>
      <c r="K218" s="15">
        <f t="shared" si="16"/>
        <v>34.44</v>
      </c>
      <c r="L218" s="15">
        <f t="shared" si="18"/>
        <v>85.602</v>
      </c>
      <c r="M218" s="12">
        <v>1</v>
      </c>
    </row>
    <row r="219" s="2" customFormat="1" ht="24" customHeight="1" spans="1:13">
      <c r="A219" s="11">
        <v>217</v>
      </c>
      <c r="B219" s="12" t="str">
        <f>"15133021108"</f>
        <v>15133021108</v>
      </c>
      <c r="C219" s="13" t="s">
        <v>70</v>
      </c>
      <c r="D219" s="14" t="str">
        <f>"阿永嘎"</f>
        <v>阿永嘎</v>
      </c>
      <c r="E219" s="15">
        <v>82.18</v>
      </c>
      <c r="F219" s="15">
        <f t="shared" si="19"/>
        <v>49.308</v>
      </c>
      <c r="G219" s="12">
        <v>2.5</v>
      </c>
      <c r="H219" s="12"/>
      <c r="I219" s="15">
        <f t="shared" si="20"/>
        <v>51.808</v>
      </c>
      <c r="J219" s="15">
        <v>76.72</v>
      </c>
      <c r="K219" s="15">
        <f t="shared" ref="K219:K240" si="21">J219*0.4</f>
        <v>30.688</v>
      </c>
      <c r="L219" s="15">
        <f t="shared" si="18"/>
        <v>82.496</v>
      </c>
      <c r="M219" s="12">
        <v>2</v>
      </c>
    </row>
    <row r="220" s="2" customFormat="1" ht="24" customHeight="1" spans="1:13">
      <c r="A220" s="11">
        <v>218</v>
      </c>
      <c r="B220" s="12" t="str">
        <f>"15133021026"</f>
        <v>15133021026</v>
      </c>
      <c r="C220" s="13" t="s">
        <v>70</v>
      </c>
      <c r="D220" s="14" t="str">
        <f>"李利江"</f>
        <v>李利江</v>
      </c>
      <c r="E220" s="15">
        <v>80.76</v>
      </c>
      <c r="F220" s="15">
        <f t="shared" si="19"/>
        <v>48.456</v>
      </c>
      <c r="G220" s="12"/>
      <c r="H220" s="12"/>
      <c r="I220" s="15">
        <f t="shared" si="20"/>
        <v>48.456</v>
      </c>
      <c r="J220" s="15">
        <v>84</v>
      </c>
      <c r="K220" s="15">
        <f t="shared" si="21"/>
        <v>33.6</v>
      </c>
      <c r="L220" s="15">
        <f t="shared" si="18"/>
        <v>82.056</v>
      </c>
      <c r="M220" s="12">
        <v>3</v>
      </c>
    </row>
    <row r="221" s="2" customFormat="1" ht="24" customHeight="1" spans="1:13">
      <c r="A221" s="11">
        <v>219</v>
      </c>
      <c r="B221" s="12" t="str">
        <f>"15133021113"</f>
        <v>15133021113</v>
      </c>
      <c r="C221" s="13" t="s">
        <v>70</v>
      </c>
      <c r="D221" s="14" t="str">
        <f>"李旭冬"</f>
        <v>李旭冬</v>
      </c>
      <c r="E221" s="15">
        <v>80.53</v>
      </c>
      <c r="F221" s="15">
        <f t="shared" si="19"/>
        <v>48.318</v>
      </c>
      <c r="G221" s="12"/>
      <c r="H221" s="12">
        <v>1.5</v>
      </c>
      <c r="I221" s="15">
        <f t="shared" si="20"/>
        <v>49.818</v>
      </c>
      <c r="J221" s="15">
        <v>79.6</v>
      </c>
      <c r="K221" s="15">
        <f t="shared" si="21"/>
        <v>31.84</v>
      </c>
      <c r="L221" s="15">
        <f t="shared" si="18"/>
        <v>81.658</v>
      </c>
      <c r="M221" s="12">
        <v>4</v>
      </c>
    </row>
    <row r="222" s="2" customFormat="1" ht="24" customHeight="1" spans="1:13">
      <c r="A222" s="11">
        <v>220</v>
      </c>
      <c r="B222" s="12" t="str">
        <f>"15133021122"</f>
        <v>15133021122</v>
      </c>
      <c r="C222" s="13" t="s">
        <v>70</v>
      </c>
      <c r="D222" s="14" t="str">
        <f>"温彪"</f>
        <v>温彪</v>
      </c>
      <c r="E222" s="15">
        <v>82.83</v>
      </c>
      <c r="F222" s="15">
        <f t="shared" si="19"/>
        <v>49.698</v>
      </c>
      <c r="G222" s="12"/>
      <c r="H222" s="12"/>
      <c r="I222" s="15">
        <f t="shared" si="20"/>
        <v>49.698</v>
      </c>
      <c r="J222" s="15">
        <v>79.74</v>
      </c>
      <c r="K222" s="15">
        <f t="shared" si="21"/>
        <v>31.896</v>
      </c>
      <c r="L222" s="15">
        <f t="shared" si="18"/>
        <v>81.594</v>
      </c>
      <c r="M222" s="12">
        <v>5</v>
      </c>
    </row>
    <row r="223" s="2" customFormat="1" ht="24" customHeight="1" spans="1:13">
      <c r="A223" s="11">
        <v>221</v>
      </c>
      <c r="B223" s="12" t="str">
        <f>"15133021130"</f>
        <v>15133021130</v>
      </c>
      <c r="C223" s="13" t="s">
        <v>70</v>
      </c>
      <c r="D223" s="14" t="str">
        <f>"阿泽亚"</f>
        <v>阿泽亚</v>
      </c>
      <c r="E223" s="15">
        <v>71.3</v>
      </c>
      <c r="F223" s="15">
        <f t="shared" si="19"/>
        <v>42.78</v>
      </c>
      <c r="G223" s="12">
        <v>2.5</v>
      </c>
      <c r="H223" s="12"/>
      <c r="I223" s="15">
        <f t="shared" si="20"/>
        <v>45.28</v>
      </c>
      <c r="J223" s="15">
        <v>86.46</v>
      </c>
      <c r="K223" s="15">
        <f t="shared" si="21"/>
        <v>34.584</v>
      </c>
      <c r="L223" s="15">
        <f t="shared" si="18"/>
        <v>79.864</v>
      </c>
      <c r="M223" s="12">
        <v>6</v>
      </c>
    </row>
    <row r="224" s="2" customFormat="1" ht="24" customHeight="1" spans="1:13">
      <c r="A224" s="11">
        <v>222</v>
      </c>
      <c r="B224" s="12" t="str">
        <f>"15133021127"</f>
        <v>15133021127</v>
      </c>
      <c r="C224" s="13" t="s">
        <v>70</v>
      </c>
      <c r="D224" s="14" t="str">
        <f>"刘光军"</f>
        <v>刘光军</v>
      </c>
      <c r="E224" s="15">
        <v>79.51</v>
      </c>
      <c r="F224" s="15">
        <f t="shared" si="19"/>
        <v>47.706</v>
      </c>
      <c r="G224" s="12"/>
      <c r="H224" s="12"/>
      <c r="I224" s="15">
        <f t="shared" si="20"/>
        <v>47.706</v>
      </c>
      <c r="J224" s="15">
        <v>74.44</v>
      </c>
      <c r="K224" s="15">
        <f t="shared" si="21"/>
        <v>29.776</v>
      </c>
      <c r="L224" s="15">
        <f t="shared" si="18"/>
        <v>77.482</v>
      </c>
      <c r="M224" s="12">
        <v>7</v>
      </c>
    </row>
    <row r="225" s="2" customFormat="1" ht="24" customHeight="1" spans="1:13">
      <c r="A225" s="11">
        <v>223</v>
      </c>
      <c r="B225" s="11" t="str">
        <f>"15133021111"</f>
        <v>15133021111</v>
      </c>
      <c r="C225" s="16" t="s">
        <v>70</v>
      </c>
      <c r="D225" s="7" t="str">
        <f>"伍浩明"</f>
        <v>伍浩明</v>
      </c>
      <c r="E225" s="17">
        <v>71.4</v>
      </c>
      <c r="F225" s="17">
        <f t="shared" si="19"/>
        <v>42.84</v>
      </c>
      <c r="G225" s="11">
        <v>2.5</v>
      </c>
      <c r="H225" s="11"/>
      <c r="I225" s="17">
        <f t="shared" si="20"/>
        <v>45.34</v>
      </c>
      <c r="J225" s="17">
        <v>79.3</v>
      </c>
      <c r="K225" s="17">
        <f t="shared" si="21"/>
        <v>31.72</v>
      </c>
      <c r="L225" s="17">
        <f t="shared" si="18"/>
        <v>77.06</v>
      </c>
      <c r="M225" s="11">
        <v>8</v>
      </c>
    </row>
    <row r="226" s="2" customFormat="1" ht="24" customHeight="1" spans="1:13">
      <c r="A226" s="11">
        <v>224</v>
      </c>
      <c r="B226" s="11" t="str">
        <f>"15133021027"</f>
        <v>15133021027</v>
      </c>
      <c r="C226" s="16" t="s">
        <v>70</v>
      </c>
      <c r="D226" s="7" t="str">
        <f>"孟科"</f>
        <v>孟科</v>
      </c>
      <c r="E226" s="17">
        <v>83.1</v>
      </c>
      <c r="F226" s="17">
        <f t="shared" si="19"/>
        <v>49.86</v>
      </c>
      <c r="G226" s="11"/>
      <c r="H226" s="11"/>
      <c r="I226" s="17">
        <f t="shared" si="20"/>
        <v>49.86</v>
      </c>
      <c r="J226" s="17">
        <v>66.6</v>
      </c>
      <c r="K226" s="17">
        <f t="shared" si="21"/>
        <v>26.64</v>
      </c>
      <c r="L226" s="17">
        <f t="shared" si="18"/>
        <v>76.5</v>
      </c>
      <c r="M226" s="11">
        <v>9</v>
      </c>
    </row>
    <row r="227" s="2" customFormat="1" ht="24" customHeight="1" spans="1:13">
      <c r="A227" s="11">
        <v>225</v>
      </c>
      <c r="B227" s="11" t="str">
        <f>"15133021119"</f>
        <v>15133021119</v>
      </c>
      <c r="C227" s="16" t="s">
        <v>70</v>
      </c>
      <c r="D227" s="7" t="str">
        <f>"折新宇"</f>
        <v>折新宇</v>
      </c>
      <c r="E227" s="17">
        <v>78.47</v>
      </c>
      <c r="F227" s="17">
        <f t="shared" si="19"/>
        <v>47.082</v>
      </c>
      <c r="G227" s="11"/>
      <c r="H227" s="11"/>
      <c r="I227" s="17">
        <f t="shared" si="20"/>
        <v>47.082</v>
      </c>
      <c r="J227" s="17">
        <v>73.32</v>
      </c>
      <c r="K227" s="17">
        <f t="shared" si="21"/>
        <v>29.328</v>
      </c>
      <c r="L227" s="17">
        <f t="shared" si="18"/>
        <v>76.41</v>
      </c>
      <c r="M227" s="11">
        <v>10</v>
      </c>
    </row>
    <row r="228" s="2" customFormat="1" ht="24" customHeight="1" spans="1:13">
      <c r="A228" s="11">
        <v>226</v>
      </c>
      <c r="B228" s="11" t="str">
        <f>"15133021112"</f>
        <v>15133021112</v>
      </c>
      <c r="C228" s="16" t="s">
        <v>70</v>
      </c>
      <c r="D228" s="7" t="str">
        <f>"薛祺琪"</f>
        <v>薛祺琪</v>
      </c>
      <c r="E228" s="17">
        <v>73.72</v>
      </c>
      <c r="F228" s="17">
        <f t="shared" si="19"/>
        <v>44.232</v>
      </c>
      <c r="G228" s="11"/>
      <c r="H228" s="11"/>
      <c r="I228" s="17">
        <f t="shared" si="20"/>
        <v>44.232</v>
      </c>
      <c r="J228" s="17">
        <v>80.4</v>
      </c>
      <c r="K228" s="17">
        <f t="shared" si="21"/>
        <v>32.16</v>
      </c>
      <c r="L228" s="17">
        <f t="shared" si="18"/>
        <v>76.392</v>
      </c>
      <c r="M228" s="11">
        <v>11</v>
      </c>
    </row>
    <row r="229" ht="24" customHeight="1" spans="1:13">
      <c r="A229" s="11">
        <v>227</v>
      </c>
      <c r="B229" s="11" t="str">
        <f>"15133021103"</f>
        <v>15133021103</v>
      </c>
      <c r="C229" s="16" t="s">
        <v>70</v>
      </c>
      <c r="D229" s="7" t="str">
        <f>"王浩田"</f>
        <v>王浩田</v>
      </c>
      <c r="E229" s="17">
        <v>76.03</v>
      </c>
      <c r="F229" s="17">
        <f t="shared" si="19"/>
        <v>45.618</v>
      </c>
      <c r="G229" s="11"/>
      <c r="H229" s="11"/>
      <c r="I229" s="17">
        <f t="shared" si="20"/>
        <v>45.618</v>
      </c>
      <c r="J229" s="17">
        <v>76.9</v>
      </c>
      <c r="K229" s="17">
        <f t="shared" si="21"/>
        <v>30.76</v>
      </c>
      <c r="L229" s="17">
        <f t="shared" si="18"/>
        <v>76.378</v>
      </c>
      <c r="M229" s="11">
        <v>12</v>
      </c>
    </row>
    <row r="230" ht="24" customHeight="1" spans="1:13">
      <c r="A230" s="11">
        <v>228</v>
      </c>
      <c r="B230" s="11" t="str">
        <f>"15133021105"</f>
        <v>15133021105</v>
      </c>
      <c r="C230" s="16" t="s">
        <v>70</v>
      </c>
      <c r="D230" s="7" t="str">
        <f>"张浩男"</f>
        <v>张浩男</v>
      </c>
      <c r="E230" s="17">
        <v>73.21</v>
      </c>
      <c r="F230" s="17">
        <f t="shared" si="19"/>
        <v>43.926</v>
      </c>
      <c r="G230" s="11"/>
      <c r="H230" s="11"/>
      <c r="I230" s="17">
        <f t="shared" si="20"/>
        <v>43.926</v>
      </c>
      <c r="J230" s="17">
        <v>73.8</v>
      </c>
      <c r="K230" s="17">
        <f t="shared" si="21"/>
        <v>29.52</v>
      </c>
      <c r="L230" s="17">
        <f t="shared" si="18"/>
        <v>73.446</v>
      </c>
      <c r="M230" s="11">
        <v>13</v>
      </c>
    </row>
    <row r="231" ht="24" customHeight="1" spans="1:13">
      <c r="A231" s="11">
        <v>229</v>
      </c>
      <c r="B231" s="11" t="str">
        <f>"15133021028"</f>
        <v>15133021028</v>
      </c>
      <c r="C231" s="16" t="s">
        <v>70</v>
      </c>
      <c r="D231" s="7" t="str">
        <f>"刘浩"</f>
        <v>刘浩</v>
      </c>
      <c r="E231" s="17">
        <v>71.3</v>
      </c>
      <c r="F231" s="17">
        <f t="shared" si="19"/>
        <v>42.78</v>
      </c>
      <c r="G231" s="11"/>
      <c r="H231" s="11"/>
      <c r="I231" s="17">
        <f t="shared" si="20"/>
        <v>42.78</v>
      </c>
      <c r="J231" s="17">
        <v>70.2</v>
      </c>
      <c r="K231" s="17">
        <f t="shared" si="21"/>
        <v>28.08</v>
      </c>
      <c r="L231" s="17">
        <f t="shared" si="18"/>
        <v>70.86</v>
      </c>
      <c r="M231" s="11">
        <v>14</v>
      </c>
    </row>
    <row r="232" ht="24" customHeight="1" spans="1:13">
      <c r="A232" s="11">
        <v>230</v>
      </c>
      <c r="B232" s="12" t="str">
        <f>"15134021209"</f>
        <v>15134021209</v>
      </c>
      <c r="C232" s="13" t="s">
        <v>71</v>
      </c>
      <c r="D232" s="14" t="str">
        <f>"杜君梅"</f>
        <v>杜君梅</v>
      </c>
      <c r="E232" s="15">
        <v>70</v>
      </c>
      <c r="F232" s="15">
        <f t="shared" si="19"/>
        <v>42</v>
      </c>
      <c r="G232" s="12">
        <v>2.5</v>
      </c>
      <c r="H232" s="12"/>
      <c r="I232" s="15">
        <f t="shared" si="20"/>
        <v>44.5</v>
      </c>
      <c r="J232" s="15">
        <v>80.1</v>
      </c>
      <c r="K232" s="15">
        <f t="shared" si="21"/>
        <v>32.04</v>
      </c>
      <c r="L232" s="15">
        <f t="shared" si="18"/>
        <v>76.54</v>
      </c>
      <c r="M232" s="12">
        <v>1</v>
      </c>
    </row>
    <row r="233" ht="24" customHeight="1" spans="1:13">
      <c r="A233" s="11">
        <v>231</v>
      </c>
      <c r="B233" s="12" t="str">
        <f>"15134021210"</f>
        <v>15134021210</v>
      </c>
      <c r="C233" s="13" t="s">
        <v>71</v>
      </c>
      <c r="D233" s="14" t="str">
        <f>"代美玲"</f>
        <v>代美玲</v>
      </c>
      <c r="E233" s="15">
        <v>77.44</v>
      </c>
      <c r="F233" s="15">
        <f t="shared" si="19"/>
        <v>46.464</v>
      </c>
      <c r="G233" s="12"/>
      <c r="H233" s="12"/>
      <c r="I233" s="15">
        <f t="shared" si="20"/>
        <v>46.464</v>
      </c>
      <c r="J233" s="15">
        <v>73.8</v>
      </c>
      <c r="K233" s="15">
        <f t="shared" si="21"/>
        <v>29.52</v>
      </c>
      <c r="L233" s="15">
        <f t="shared" si="18"/>
        <v>75.984</v>
      </c>
      <c r="M233" s="12">
        <v>2</v>
      </c>
    </row>
    <row r="234" ht="24" customHeight="1" spans="1:13">
      <c r="A234" s="11">
        <v>232</v>
      </c>
      <c r="B234" s="12" t="str">
        <f>"15134021214"</f>
        <v>15134021214</v>
      </c>
      <c r="C234" s="13" t="s">
        <v>71</v>
      </c>
      <c r="D234" s="14" t="str">
        <f>"夏姝"</f>
        <v>夏姝</v>
      </c>
      <c r="E234" s="15">
        <v>68.74</v>
      </c>
      <c r="F234" s="15">
        <f t="shared" si="19"/>
        <v>41.244</v>
      </c>
      <c r="G234" s="12"/>
      <c r="H234" s="12"/>
      <c r="I234" s="15">
        <f t="shared" si="20"/>
        <v>41.244</v>
      </c>
      <c r="J234" s="15">
        <v>83.88</v>
      </c>
      <c r="K234" s="15">
        <f t="shared" si="21"/>
        <v>33.552</v>
      </c>
      <c r="L234" s="15">
        <f t="shared" si="18"/>
        <v>74.796</v>
      </c>
      <c r="M234" s="12">
        <v>3</v>
      </c>
    </row>
    <row r="235" ht="24" customHeight="1" spans="1:13">
      <c r="A235" s="11">
        <v>233</v>
      </c>
      <c r="B235" s="11" t="str">
        <f>"15134021208"</f>
        <v>15134021208</v>
      </c>
      <c r="C235" s="16" t="s">
        <v>71</v>
      </c>
      <c r="D235" s="7" t="str">
        <f>"刘向东"</f>
        <v>刘向东</v>
      </c>
      <c r="E235" s="17">
        <v>70.9</v>
      </c>
      <c r="F235" s="17">
        <f t="shared" si="19"/>
        <v>42.54</v>
      </c>
      <c r="G235" s="11"/>
      <c r="H235" s="11"/>
      <c r="I235" s="17">
        <f t="shared" si="20"/>
        <v>42.54</v>
      </c>
      <c r="J235" s="17">
        <v>76.5</v>
      </c>
      <c r="K235" s="17">
        <f t="shared" si="21"/>
        <v>30.6</v>
      </c>
      <c r="L235" s="17">
        <f t="shared" si="18"/>
        <v>73.14</v>
      </c>
      <c r="M235" s="11">
        <v>4</v>
      </c>
    </row>
    <row r="236" ht="36" customHeight="1" spans="1:13">
      <c r="A236" s="11">
        <v>234</v>
      </c>
      <c r="B236" s="11" t="str">
        <f>"15134021213"</f>
        <v>15134021213</v>
      </c>
      <c r="C236" s="16" t="s">
        <v>71</v>
      </c>
      <c r="D236" s="7" t="str">
        <f>"苏宝雄"</f>
        <v>苏宝雄</v>
      </c>
      <c r="E236" s="17">
        <v>73.22</v>
      </c>
      <c r="F236" s="17">
        <f t="shared" si="19"/>
        <v>43.932</v>
      </c>
      <c r="G236" s="11"/>
      <c r="H236" s="11"/>
      <c r="I236" s="17">
        <f t="shared" si="20"/>
        <v>43.932</v>
      </c>
      <c r="J236" s="17">
        <v>70.2</v>
      </c>
      <c r="K236" s="17">
        <f t="shared" si="21"/>
        <v>28.08</v>
      </c>
      <c r="L236" s="17">
        <f t="shared" si="18"/>
        <v>72.012</v>
      </c>
      <c r="M236" s="11">
        <v>5</v>
      </c>
    </row>
    <row r="237" ht="32" customHeight="1" spans="1:13">
      <c r="A237" s="11">
        <v>235</v>
      </c>
      <c r="B237" s="11" t="str">
        <f>"15134021212"</f>
        <v>15134021212</v>
      </c>
      <c r="C237" s="16" t="s">
        <v>71</v>
      </c>
      <c r="D237" s="7" t="str">
        <f>"王丽霞"</f>
        <v>王丽霞</v>
      </c>
      <c r="E237" s="17">
        <v>68.21</v>
      </c>
      <c r="F237" s="17">
        <f t="shared" si="19"/>
        <v>40.926</v>
      </c>
      <c r="G237" s="11"/>
      <c r="H237" s="11"/>
      <c r="I237" s="17">
        <f t="shared" si="20"/>
        <v>40.926</v>
      </c>
      <c r="J237" s="17">
        <v>76.5</v>
      </c>
      <c r="K237" s="17">
        <f t="shared" si="21"/>
        <v>30.6</v>
      </c>
      <c r="L237" s="17">
        <f t="shared" si="18"/>
        <v>71.526</v>
      </c>
      <c r="M237" s="11">
        <v>6</v>
      </c>
    </row>
    <row r="238" ht="32" customHeight="1" spans="1:13">
      <c r="A238" s="11">
        <v>236</v>
      </c>
      <c r="B238" s="11" t="str">
        <f>"15134021211"</f>
        <v>15134021211</v>
      </c>
      <c r="C238" s="16" t="s">
        <v>71</v>
      </c>
      <c r="D238" s="7" t="str">
        <f>"薛艳霞"</f>
        <v>薛艳霞</v>
      </c>
      <c r="E238" s="17">
        <v>66.43</v>
      </c>
      <c r="F238" s="17">
        <f t="shared" si="19"/>
        <v>39.858</v>
      </c>
      <c r="G238" s="11"/>
      <c r="H238" s="11"/>
      <c r="I238" s="17">
        <f t="shared" si="20"/>
        <v>39.858</v>
      </c>
      <c r="J238" s="17">
        <v>78.22</v>
      </c>
      <c r="K238" s="17">
        <f t="shared" si="21"/>
        <v>31.288</v>
      </c>
      <c r="L238" s="17">
        <f t="shared" si="18"/>
        <v>71.146</v>
      </c>
      <c r="M238" s="11">
        <v>7</v>
      </c>
    </row>
    <row r="239" ht="30" customHeight="1" spans="1:13">
      <c r="A239" s="11">
        <v>237</v>
      </c>
      <c r="B239" s="11" t="str">
        <f>"15134021217"</f>
        <v>15134021217</v>
      </c>
      <c r="C239" s="16" t="s">
        <v>71</v>
      </c>
      <c r="D239" s="7" t="str">
        <f>"王星"</f>
        <v>王星</v>
      </c>
      <c r="E239" s="17">
        <v>64.98</v>
      </c>
      <c r="F239" s="17">
        <f t="shared" si="19"/>
        <v>38.988</v>
      </c>
      <c r="G239" s="11"/>
      <c r="H239" s="11"/>
      <c r="I239" s="17">
        <f t="shared" si="20"/>
        <v>38.988</v>
      </c>
      <c r="J239" s="17">
        <v>71.28</v>
      </c>
      <c r="K239" s="17">
        <f t="shared" si="21"/>
        <v>28.512</v>
      </c>
      <c r="L239" s="17">
        <f t="shared" si="18"/>
        <v>67.5</v>
      </c>
      <c r="M239" s="11">
        <v>8</v>
      </c>
    </row>
    <row r="240" ht="24" customHeight="1" spans="1:13">
      <c r="A240" s="11">
        <v>238</v>
      </c>
      <c r="B240" s="11" t="str">
        <f>"15134021207"</f>
        <v>15134021207</v>
      </c>
      <c r="C240" s="16" t="s">
        <v>71</v>
      </c>
      <c r="D240" s="7" t="str">
        <f>"李海燕"</f>
        <v>李海燕</v>
      </c>
      <c r="E240" s="17">
        <v>62.72</v>
      </c>
      <c r="F240" s="17">
        <f t="shared" si="19"/>
        <v>37.632</v>
      </c>
      <c r="G240" s="11"/>
      <c r="H240" s="11"/>
      <c r="I240" s="17">
        <f t="shared" si="20"/>
        <v>37.632</v>
      </c>
      <c r="J240" s="17">
        <v>66.32</v>
      </c>
      <c r="K240" s="17">
        <f t="shared" si="21"/>
        <v>26.528</v>
      </c>
      <c r="L240" s="17">
        <f t="shared" si="18"/>
        <v>64.16</v>
      </c>
      <c r="M240" s="11">
        <v>9</v>
      </c>
    </row>
  </sheetData>
  <autoFilter ref="B2:P240">
    <extLst/>
  </autoFilter>
  <mergeCells count="1">
    <mergeCell ref="A1:M1"/>
  </mergeCells>
  <pageMargins left="0.511805555555556" right="0.432638888888889" top="0.904861111111111" bottom="0.354166666666667" header="0.511111111111111" footer="0.314583333333333"/>
  <pageSetup paperSize="9" scale="73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2021-05-05T10:28:00Z</dcterms:created>
  <cp:lastPrinted>2021-05-10T08:45:00Z</cp:lastPrinted>
  <dcterms:modified xsi:type="dcterms:W3CDTF">2021-05-24T03:37:56Z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C10B670598E04E8B9B301E66902F8511</vt:lpwstr>
  </property>
</Properties>
</file>