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0" windowHeight="16440"/>
  </bookViews>
  <sheets>
    <sheet name="招教(发布)" sheetId="6" r:id="rId1"/>
  </sheets>
  <definedNames>
    <definedName name="_xlnm._FilterDatabase" localSheetId="0" hidden="1">'招教(发布)'!$A$3:$H$4401</definedName>
    <definedName name="_xlnm.Print_Area" localSheetId="0">'招教(发布)'!$A$3:$H$4401</definedName>
    <definedName name="_xlnm.Print_Titles" localSheetId="0">'招教(发布)'!#REF!</definedName>
  </definedNames>
  <calcPr calcId="125725"/>
</workbook>
</file>

<file path=xl/calcChain.xml><?xml version="1.0" encoding="utf-8"?>
<calcChain xmlns="http://schemas.openxmlformats.org/spreadsheetml/2006/main">
  <c r="D4401" i="6"/>
  <c r="C4401"/>
  <c r="B4401"/>
  <c r="D4400"/>
  <c r="C4400"/>
  <c r="B4400"/>
  <c r="D4399"/>
  <c r="C4399"/>
  <c r="B4399"/>
  <c r="D4398"/>
  <c r="C4398"/>
  <c r="B4398"/>
  <c r="D4397"/>
  <c r="C4397"/>
  <c r="B4397"/>
  <c r="D4396"/>
  <c r="C4396"/>
  <c r="B4396"/>
  <c r="D4395"/>
  <c r="C4395"/>
  <c r="B4395"/>
  <c r="D4394"/>
  <c r="C4394"/>
  <c r="B4394"/>
  <c r="D4393"/>
  <c r="C4393"/>
  <c r="B4393"/>
  <c r="D4392"/>
  <c r="C4392"/>
  <c r="B4392"/>
  <c r="D4391"/>
  <c r="C4391"/>
  <c r="B4391"/>
  <c r="D4390"/>
  <c r="C4390"/>
  <c r="B4390"/>
  <c r="D4389"/>
  <c r="C4389"/>
  <c r="B4389"/>
  <c r="D4388"/>
  <c r="C4388"/>
  <c r="B4388"/>
  <c r="D4387"/>
  <c r="C4387"/>
  <c r="B4387"/>
  <c r="D4386"/>
  <c r="C4386"/>
  <c r="B4386"/>
  <c r="D4385"/>
  <c r="C4385"/>
  <c r="B4385"/>
  <c r="D4384"/>
  <c r="C4384"/>
  <c r="B4384"/>
  <c r="D4383"/>
  <c r="C4383"/>
  <c r="B4383"/>
  <c r="D4382"/>
  <c r="C4382"/>
  <c r="B4382"/>
  <c r="D4381"/>
  <c r="C4381"/>
  <c r="B4381"/>
  <c r="D4380"/>
  <c r="C4380"/>
  <c r="B4380"/>
  <c r="D4379"/>
  <c r="C4379"/>
  <c r="B4379"/>
  <c r="D4378"/>
  <c r="C4378"/>
  <c r="B4378"/>
  <c r="D4377"/>
  <c r="C4377"/>
  <c r="B4377"/>
  <c r="D4376"/>
  <c r="C4376"/>
  <c r="B4376"/>
  <c r="D4375"/>
  <c r="C4375"/>
  <c r="B4375"/>
  <c r="D4374"/>
  <c r="C4374"/>
  <c r="B4374"/>
  <c r="D4373"/>
  <c r="C4373"/>
  <c r="B4373"/>
  <c r="D4372"/>
  <c r="C4372"/>
  <c r="B4372"/>
  <c r="D4371"/>
  <c r="C4371"/>
  <c r="B4371"/>
  <c r="D4370"/>
  <c r="C4370"/>
  <c r="B4370"/>
  <c r="D4369"/>
  <c r="C4369"/>
  <c r="B4369"/>
  <c r="D4368"/>
  <c r="C4368"/>
  <c r="B4368"/>
  <c r="D4367"/>
  <c r="C4367"/>
  <c r="B4367"/>
  <c r="D4366"/>
  <c r="C4366"/>
  <c r="B4366"/>
  <c r="D4365"/>
  <c r="C4365"/>
  <c r="B4365"/>
  <c r="D4364"/>
  <c r="C4364"/>
  <c r="B4364"/>
  <c r="D4363"/>
  <c r="C4363"/>
  <c r="B4363"/>
  <c r="D4362"/>
  <c r="C4362"/>
  <c r="B4362"/>
  <c r="D4361"/>
  <c r="C4361"/>
  <c r="B4361"/>
  <c r="D4360"/>
  <c r="C4360"/>
  <c r="B4360"/>
  <c r="D4359"/>
  <c r="C4359"/>
  <c r="B4359"/>
  <c r="D4358"/>
  <c r="C4358"/>
  <c r="B4358"/>
  <c r="D4357"/>
  <c r="C4357"/>
  <c r="B4357"/>
  <c r="D4356"/>
  <c r="C4356"/>
  <c r="B4356"/>
  <c r="D4355"/>
  <c r="C4355"/>
  <c r="B4355"/>
  <c r="D4354"/>
  <c r="C4354"/>
  <c r="B4354"/>
  <c r="D4353"/>
  <c r="C4353"/>
  <c r="B4353"/>
  <c r="D4352"/>
  <c r="C4352"/>
  <c r="B4352"/>
  <c r="D4351"/>
  <c r="C4351"/>
  <c r="B4351"/>
  <c r="D4350"/>
  <c r="C4350"/>
  <c r="B4350"/>
  <c r="D4349"/>
  <c r="C4349"/>
  <c r="B4349"/>
  <c r="D4348"/>
  <c r="C4348"/>
  <c r="B4348"/>
  <c r="D4347"/>
  <c r="C4347"/>
  <c r="B4347"/>
  <c r="D4346"/>
  <c r="C4346"/>
  <c r="B4346"/>
  <c r="D4345"/>
  <c r="C4345"/>
  <c r="B4345"/>
  <c r="D4344"/>
  <c r="C4344"/>
  <c r="B4344"/>
  <c r="D4343"/>
  <c r="C4343"/>
  <c r="B4343"/>
  <c r="D4342"/>
  <c r="C4342"/>
  <c r="B4342"/>
  <c r="D4341"/>
  <c r="C4341"/>
  <c r="B4341"/>
  <c r="D4340"/>
  <c r="C4340"/>
  <c r="B4340"/>
  <c r="D4339"/>
  <c r="C4339"/>
  <c r="B4339"/>
  <c r="D4338"/>
  <c r="C4338"/>
  <c r="B4338"/>
  <c r="D4337"/>
  <c r="C4337"/>
  <c r="B4337"/>
  <c r="D4336"/>
  <c r="C4336"/>
  <c r="B4336"/>
  <c r="D4335"/>
  <c r="C4335"/>
  <c r="B4335"/>
  <c r="D4334"/>
  <c r="C4334"/>
  <c r="B4334"/>
  <c r="D4333"/>
  <c r="C4333"/>
  <c r="B4333"/>
  <c r="D4332"/>
  <c r="C4332"/>
  <c r="B4332"/>
  <c r="D4331"/>
  <c r="C4331"/>
  <c r="B4331"/>
  <c r="D4330"/>
  <c r="C4330"/>
  <c r="B4330"/>
  <c r="D4329"/>
  <c r="C4329"/>
  <c r="B4329"/>
  <c r="D4328"/>
  <c r="C4328"/>
  <c r="B4328"/>
  <c r="D4327"/>
  <c r="C4327"/>
  <c r="B4327"/>
  <c r="D4326"/>
  <c r="C4326"/>
  <c r="B4326"/>
  <c r="D4325"/>
  <c r="C4325"/>
  <c r="B4325"/>
  <c r="D4324"/>
  <c r="C4324"/>
  <c r="B4324"/>
  <c r="D4323"/>
  <c r="C4323"/>
  <c r="B4323"/>
  <c r="D4322"/>
  <c r="C4322"/>
  <c r="B4322"/>
  <c r="D4321"/>
  <c r="C4321"/>
  <c r="B4321"/>
  <c r="D4320"/>
  <c r="C4320"/>
  <c r="B4320"/>
  <c r="D4319"/>
  <c r="C4319"/>
  <c r="B4319"/>
  <c r="D4318"/>
  <c r="C4318"/>
  <c r="B4318"/>
  <c r="D4317"/>
  <c r="C4317"/>
  <c r="B4317"/>
  <c r="D4316"/>
  <c r="C4316"/>
  <c r="B4316"/>
  <c r="D4315"/>
  <c r="C4315"/>
  <c r="B4315"/>
  <c r="D4314"/>
  <c r="C4314"/>
  <c r="B4314"/>
  <c r="D4313"/>
  <c r="C4313"/>
  <c r="B4313"/>
  <c r="D4312"/>
  <c r="C4312"/>
  <c r="B4312"/>
  <c r="D4311"/>
  <c r="C4311"/>
  <c r="B4311"/>
  <c r="D4310"/>
  <c r="C4310"/>
  <c r="B4310"/>
  <c r="D4309"/>
  <c r="C4309"/>
  <c r="B4309"/>
  <c r="D4308"/>
  <c r="C4308"/>
  <c r="B4308"/>
  <c r="D4307"/>
  <c r="C4307"/>
  <c r="B4307"/>
  <c r="D4306"/>
  <c r="C4306"/>
  <c r="B4306"/>
  <c r="D4305"/>
  <c r="C4305"/>
  <c r="B4305"/>
  <c r="D4304"/>
  <c r="C4304"/>
  <c r="B4304"/>
  <c r="D4303"/>
  <c r="C4303"/>
  <c r="B4303"/>
  <c r="D4302"/>
  <c r="C4302"/>
  <c r="B4302"/>
  <c r="D4301"/>
  <c r="C4301"/>
  <c r="B4301"/>
  <c r="D4300"/>
  <c r="C4300"/>
  <c r="B4300"/>
  <c r="D4299"/>
  <c r="C4299"/>
  <c r="B4299"/>
  <c r="D4298"/>
  <c r="C4298"/>
  <c r="B4298"/>
  <c r="D4297"/>
  <c r="C4297"/>
  <c r="B4297"/>
  <c r="D4296"/>
  <c r="C4296"/>
  <c r="B4296"/>
  <c r="D4295"/>
  <c r="C4295"/>
  <c r="B4295"/>
  <c r="D4294"/>
  <c r="C4294"/>
  <c r="B4294"/>
  <c r="D4293"/>
  <c r="C4293"/>
  <c r="B4293"/>
  <c r="D4292"/>
  <c r="C4292"/>
  <c r="B4292"/>
  <c r="D4291"/>
  <c r="C4291"/>
  <c r="B4291"/>
  <c r="D4290"/>
  <c r="C4290"/>
  <c r="B4290"/>
  <c r="D4289"/>
  <c r="C4289"/>
  <c r="B4289"/>
  <c r="D4288"/>
  <c r="C4288"/>
  <c r="B4288"/>
  <c r="D4287"/>
  <c r="C4287"/>
  <c r="B4287"/>
  <c r="D4286"/>
  <c r="C4286"/>
  <c r="B4286"/>
  <c r="D4285"/>
  <c r="C4285"/>
  <c r="B4285"/>
  <c r="D4284"/>
  <c r="C4284"/>
  <c r="B4284"/>
  <c r="D4283"/>
  <c r="C4283"/>
  <c r="B4283"/>
  <c r="D4282"/>
  <c r="C4282"/>
  <c r="B4282"/>
  <c r="D4281"/>
  <c r="C4281"/>
  <c r="B4281"/>
  <c r="D4280"/>
  <c r="C4280"/>
  <c r="B4280"/>
  <c r="D4279"/>
  <c r="C4279"/>
  <c r="B4279"/>
  <c r="D4278"/>
  <c r="C4278"/>
  <c r="B4278"/>
  <c r="D4277"/>
  <c r="C4277"/>
  <c r="B4277"/>
  <c r="D4276"/>
  <c r="C4276"/>
  <c r="B4276"/>
  <c r="D4275"/>
  <c r="C4275"/>
  <c r="B4275"/>
  <c r="D4274"/>
  <c r="C4274"/>
  <c r="B4274"/>
  <c r="D4273"/>
  <c r="C4273"/>
  <c r="B4273"/>
  <c r="D4272"/>
  <c r="C4272"/>
  <c r="B4272"/>
  <c r="D4271"/>
  <c r="C4271"/>
  <c r="B4271"/>
  <c r="D4270"/>
  <c r="C4270"/>
  <c r="B4270"/>
  <c r="D4269"/>
  <c r="C4269"/>
  <c r="B4269"/>
  <c r="D4268"/>
  <c r="C4268"/>
  <c r="B4268"/>
  <c r="D4267"/>
  <c r="C4267"/>
  <c r="B4267"/>
  <c r="D4266"/>
  <c r="C4266"/>
  <c r="B4266"/>
  <c r="D4265"/>
  <c r="C4265"/>
  <c r="B4265"/>
  <c r="D4264"/>
  <c r="C4264"/>
  <c r="B4264"/>
  <c r="D4263"/>
  <c r="C4263"/>
  <c r="B4263"/>
  <c r="D4262"/>
  <c r="C4262"/>
  <c r="B4262"/>
  <c r="D4261"/>
  <c r="C4261"/>
  <c r="B4261"/>
  <c r="D4260"/>
  <c r="C4260"/>
  <c r="B4260"/>
  <c r="D4259"/>
  <c r="C4259"/>
  <c r="B4259"/>
  <c r="D4258"/>
  <c r="C4258"/>
  <c r="B4258"/>
  <c r="D4257"/>
  <c r="C4257"/>
  <c r="B4257"/>
  <c r="D4256"/>
  <c r="C4256"/>
  <c r="B4256"/>
  <c r="D4255"/>
  <c r="C4255"/>
  <c r="B4255"/>
  <c r="D4254"/>
  <c r="C4254"/>
  <c r="B4254"/>
  <c r="D4253"/>
  <c r="C4253"/>
  <c r="B4253"/>
  <c r="D4252"/>
  <c r="C4252"/>
  <c r="B4252"/>
  <c r="D4251"/>
  <c r="C4251"/>
  <c r="B4251"/>
  <c r="D4250"/>
  <c r="C4250"/>
  <c r="B4250"/>
  <c r="D4249"/>
  <c r="C4249"/>
  <c r="B4249"/>
  <c r="D4248"/>
  <c r="C4248"/>
  <c r="B4248"/>
  <c r="D4247"/>
  <c r="C4247"/>
  <c r="B4247"/>
  <c r="D4246"/>
  <c r="C4246"/>
  <c r="B4246"/>
  <c r="D4245"/>
  <c r="C4245"/>
  <c r="B4245"/>
  <c r="D4244"/>
  <c r="C4244"/>
  <c r="B4244"/>
  <c r="D4243"/>
  <c r="C4243"/>
  <c r="B4243"/>
  <c r="D4242"/>
  <c r="C4242"/>
  <c r="B4242"/>
  <c r="D4241"/>
  <c r="C4241"/>
  <c r="B4241"/>
  <c r="D4240"/>
  <c r="C4240"/>
  <c r="B4240"/>
  <c r="D4239"/>
  <c r="C4239"/>
  <c r="B4239"/>
  <c r="D4238"/>
  <c r="C4238"/>
  <c r="B4238"/>
  <c r="D4237"/>
  <c r="C4237"/>
  <c r="B4237"/>
  <c r="D4236"/>
  <c r="C4236"/>
  <c r="B4236"/>
  <c r="D4235"/>
  <c r="C4235"/>
  <c r="B4235"/>
  <c r="D4234"/>
  <c r="C4234"/>
  <c r="B4234"/>
  <c r="D4233"/>
  <c r="C4233"/>
  <c r="B4233"/>
  <c r="D4232"/>
  <c r="C4232"/>
  <c r="B4232"/>
  <c r="D4231"/>
  <c r="C4231"/>
  <c r="B4231"/>
  <c r="D4230"/>
  <c r="C4230"/>
  <c r="B4230"/>
  <c r="D4229"/>
  <c r="C4229"/>
  <c r="B4229"/>
  <c r="D4228"/>
  <c r="C4228"/>
  <c r="B4228"/>
  <c r="D4227"/>
  <c r="C4227"/>
  <c r="B4227"/>
  <c r="D4226"/>
  <c r="C4226"/>
  <c r="B4226"/>
  <c r="D4225"/>
  <c r="C4225"/>
  <c r="B4225"/>
  <c r="D4224"/>
  <c r="C4224"/>
  <c r="B4224"/>
  <c r="D4223"/>
  <c r="C4223"/>
  <c r="B4223"/>
  <c r="D4222"/>
  <c r="C4222"/>
  <c r="B4222"/>
  <c r="D4221"/>
  <c r="C4221"/>
  <c r="B4221"/>
  <c r="D4220"/>
  <c r="C4220"/>
  <c r="B4220"/>
  <c r="D4219"/>
  <c r="C4219"/>
  <c r="B4219"/>
  <c r="D4218"/>
  <c r="C4218"/>
  <c r="B4218"/>
  <c r="D4217"/>
  <c r="C4217"/>
  <c r="B4217"/>
  <c r="D4216"/>
  <c r="C4216"/>
  <c r="B4216"/>
  <c r="D4215"/>
  <c r="C4215"/>
  <c r="B4215"/>
  <c r="D4214"/>
  <c r="C4214"/>
  <c r="B4214"/>
  <c r="D4213"/>
  <c r="C4213"/>
  <c r="B4213"/>
  <c r="D4212"/>
  <c r="C4212"/>
  <c r="B4212"/>
  <c r="D4211"/>
  <c r="C4211"/>
  <c r="B4211"/>
  <c r="D4210"/>
  <c r="C4210"/>
  <c r="B4210"/>
  <c r="D4209"/>
  <c r="C4209"/>
  <c r="B4209"/>
  <c r="D4208"/>
  <c r="C4208"/>
  <c r="B4208"/>
  <c r="D4207"/>
  <c r="C4207"/>
  <c r="B4207"/>
  <c r="D4206"/>
  <c r="C4206"/>
  <c r="B4206"/>
  <c r="D4205"/>
  <c r="C4205"/>
  <c r="B4205"/>
  <c r="D4204"/>
  <c r="C4204"/>
  <c r="B4204"/>
  <c r="D4203"/>
  <c r="C4203"/>
  <c r="B4203"/>
  <c r="D4202"/>
  <c r="C4202"/>
  <c r="B4202"/>
  <c r="D4201"/>
  <c r="C4201"/>
  <c r="B4201"/>
  <c r="D4200"/>
  <c r="C4200"/>
  <c r="B4200"/>
  <c r="D4199"/>
  <c r="C4199"/>
  <c r="B4199"/>
  <c r="D4198"/>
  <c r="C4198"/>
  <c r="B4198"/>
  <c r="D4197"/>
  <c r="C4197"/>
  <c r="B4197"/>
  <c r="D4196"/>
  <c r="C4196"/>
  <c r="B4196"/>
  <c r="D4195"/>
  <c r="C4195"/>
  <c r="B4195"/>
  <c r="D4194"/>
  <c r="C4194"/>
  <c r="B4194"/>
  <c r="D4193"/>
  <c r="C4193"/>
  <c r="B4193"/>
  <c r="D4192"/>
  <c r="C4192"/>
  <c r="B4192"/>
  <c r="D4191"/>
  <c r="C4191"/>
  <c r="B4191"/>
  <c r="D4190"/>
  <c r="C4190"/>
  <c r="B4190"/>
  <c r="D4189"/>
  <c r="C4189"/>
  <c r="B4189"/>
  <c r="D4188"/>
  <c r="C4188"/>
  <c r="B4188"/>
  <c r="D4187"/>
  <c r="C4187"/>
  <c r="B4187"/>
  <c r="D4186"/>
  <c r="C4186"/>
  <c r="B4186"/>
  <c r="D4185"/>
  <c r="C4185"/>
  <c r="B4185"/>
  <c r="D4184"/>
  <c r="C4184"/>
  <c r="B4184"/>
  <c r="D4183"/>
  <c r="C4183"/>
  <c r="B4183"/>
  <c r="D4182"/>
  <c r="C4182"/>
  <c r="B4182"/>
  <c r="D4181"/>
  <c r="C4181"/>
  <c r="B4181"/>
  <c r="D4180"/>
  <c r="C4180"/>
  <c r="B4180"/>
  <c r="D4179"/>
  <c r="C4179"/>
  <c r="B4179"/>
  <c r="D4178"/>
  <c r="C4178"/>
  <c r="B4178"/>
  <c r="D4177"/>
  <c r="C4177"/>
  <c r="B4177"/>
  <c r="D4176"/>
  <c r="C4176"/>
  <c r="B4176"/>
  <c r="D4175"/>
  <c r="C4175"/>
  <c r="B4175"/>
  <c r="D4174"/>
  <c r="C4174"/>
  <c r="B4174"/>
  <c r="D4173"/>
  <c r="C4173"/>
  <c r="B4173"/>
  <c r="D4172"/>
  <c r="C4172"/>
  <c r="B4172"/>
  <c r="D4171"/>
  <c r="C4171"/>
  <c r="B4171"/>
  <c r="D4170"/>
  <c r="C4170"/>
  <c r="B4170"/>
  <c r="D4169"/>
  <c r="C4169"/>
  <c r="B4169"/>
  <c r="D4168"/>
  <c r="C4168"/>
  <c r="B4168"/>
  <c r="D4167"/>
  <c r="C4167"/>
  <c r="B4167"/>
  <c r="D4166"/>
  <c r="C4166"/>
  <c r="B4166"/>
  <c r="D4165"/>
  <c r="C4165"/>
  <c r="B4165"/>
  <c r="D4164"/>
  <c r="C4164"/>
  <c r="B4164"/>
  <c r="D4163"/>
  <c r="C4163"/>
  <c r="B4163"/>
  <c r="D4162"/>
  <c r="C4162"/>
  <c r="B4162"/>
  <c r="D4161"/>
  <c r="C4161"/>
  <c r="B4161"/>
  <c r="D4160"/>
  <c r="C4160"/>
  <c r="B4160"/>
  <c r="D4159"/>
  <c r="C4159"/>
  <c r="B4159"/>
  <c r="D4158"/>
  <c r="C4158"/>
  <c r="B4158"/>
  <c r="D4157"/>
  <c r="C4157"/>
  <c r="B4157"/>
  <c r="D4156"/>
  <c r="C4156"/>
  <c r="B4156"/>
  <c r="D4155"/>
  <c r="C4155"/>
  <c r="B4155"/>
  <c r="D4154"/>
  <c r="C4154"/>
  <c r="B4154"/>
  <c r="D4153"/>
  <c r="C4153"/>
  <c r="B4153"/>
  <c r="D4152"/>
  <c r="C4152"/>
  <c r="B4152"/>
  <c r="D4151"/>
  <c r="C4151"/>
  <c r="B4151"/>
  <c r="D4150"/>
  <c r="C4150"/>
  <c r="B4150"/>
  <c r="D4149"/>
  <c r="C4149"/>
  <c r="B4149"/>
  <c r="D4148"/>
  <c r="C4148"/>
  <c r="B4148"/>
  <c r="D4147"/>
  <c r="C4147"/>
  <c r="B4147"/>
  <c r="D4146"/>
  <c r="C4146"/>
  <c r="B4146"/>
  <c r="D4145"/>
  <c r="C4145"/>
  <c r="B4145"/>
  <c r="D4144"/>
  <c r="C4144"/>
  <c r="B4144"/>
  <c r="D4143"/>
  <c r="C4143"/>
  <c r="B4143"/>
  <c r="D4142"/>
  <c r="C4142"/>
  <c r="B4142"/>
  <c r="D4141"/>
  <c r="C4141"/>
  <c r="B4141"/>
  <c r="D4140"/>
  <c r="C4140"/>
  <c r="B4140"/>
  <c r="D4139"/>
  <c r="C4139"/>
  <c r="B4139"/>
  <c r="D4138"/>
  <c r="C4138"/>
  <c r="B4138"/>
  <c r="D4137"/>
  <c r="C4137"/>
  <c r="B4137"/>
  <c r="D4136"/>
  <c r="C4136"/>
  <c r="B4136"/>
  <c r="D4135"/>
  <c r="C4135"/>
  <c r="B4135"/>
  <c r="D4134"/>
  <c r="C4134"/>
  <c r="B4134"/>
  <c r="D4133"/>
  <c r="C4133"/>
  <c r="B4133"/>
  <c r="D4132"/>
  <c r="C4132"/>
  <c r="B4132"/>
  <c r="D4131"/>
  <c r="C4131"/>
  <c r="B4131"/>
  <c r="D4130"/>
  <c r="C4130"/>
  <c r="B4130"/>
  <c r="D4129"/>
  <c r="C4129"/>
  <c r="B4129"/>
  <c r="D4128"/>
  <c r="C4128"/>
  <c r="B4128"/>
  <c r="D4127"/>
  <c r="C4127"/>
  <c r="B4127"/>
  <c r="D4126"/>
  <c r="C4126"/>
  <c r="B4126"/>
  <c r="D4125"/>
  <c r="C4125"/>
  <c r="B4125"/>
  <c r="D4124"/>
  <c r="C4124"/>
  <c r="B4124"/>
  <c r="D4123"/>
  <c r="C4123"/>
  <c r="B4123"/>
  <c r="D4122"/>
  <c r="C4122"/>
  <c r="B4122"/>
  <c r="D4121"/>
  <c r="C4121"/>
  <c r="B4121"/>
  <c r="D4120"/>
  <c r="C4120"/>
  <c r="B4120"/>
  <c r="D4119"/>
  <c r="C4119"/>
  <c r="B4119"/>
  <c r="D4118"/>
  <c r="C4118"/>
  <c r="B4118"/>
  <c r="D4117"/>
  <c r="C4117"/>
  <c r="B4117"/>
  <c r="D4116"/>
  <c r="C4116"/>
  <c r="B4116"/>
  <c r="D4115"/>
  <c r="C4115"/>
  <c r="B4115"/>
  <c r="D4114"/>
  <c r="C4114"/>
  <c r="B4114"/>
  <c r="D4113"/>
  <c r="C4113"/>
  <c r="B4113"/>
  <c r="D4112"/>
  <c r="C4112"/>
  <c r="B4112"/>
  <c r="D4111"/>
  <c r="C4111"/>
  <c r="B4111"/>
  <c r="D4110"/>
  <c r="C4110"/>
  <c r="B4110"/>
  <c r="D4109"/>
  <c r="C4109"/>
  <c r="B4109"/>
  <c r="D4108"/>
  <c r="C4108"/>
  <c r="B4108"/>
  <c r="D4107"/>
  <c r="C4107"/>
  <c r="B4107"/>
  <c r="D4106"/>
  <c r="C4106"/>
  <c r="B4106"/>
  <c r="D4105"/>
  <c r="C4105"/>
  <c r="B4105"/>
  <c r="D4104"/>
  <c r="C4104"/>
  <c r="B4104"/>
  <c r="D4103"/>
  <c r="C4103"/>
  <c r="B4103"/>
  <c r="D4102"/>
  <c r="C4102"/>
  <c r="B4102"/>
  <c r="D4101"/>
  <c r="C4101"/>
  <c r="B4101"/>
  <c r="D4100"/>
  <c r="C4100"/>
  <c r="B4100"/>
  <c r="D4099"/>
  <c r="C4099"/>
  <c r="B4099"/>
  <c r="D4098"/>
  <c r="C4098"/>
  <c r="B4098"/>
  <c r="D4097"/>
  <c r="C4097"/>
  <c r="B4097"/>
  <c r="D4096"/>
  <c r="C4096"/>
  <c r="B4096"/>
  <c r="D4095"/>
  <c r="C4095"/>
  <c r="B4095"/>
  <c r="D4094"/>
  <c r="C4094"/>
  <c r="B4094"/>
  <c r="D4093"/>
  <c r="C4093"/>
  <c r="B4093"/>
  <c r="D4092"/>
  <c r="C4092"/>
  <c r="B4092"/>
  <c r="D4091"/>
  <c r="C4091"/>
  <c r="B4091"/>
  <c r="D4090"/>
  <c r="C4090"/>
  <c r="B4090"/>
  <c r="D4089"/>
  <c r="C4089"/>
  <c r="B4089"/>
  <c r="D4088"/>
  <c r="C4088"/>
  <c r="B4088"/>
  <c r="D4087"/>
  <c r="C4087"/>
  <c r="B4087"/>
  <c r="D4086"/>
  <c r="C4086"/>
  <c r="B4086"/>
  <c r="D4085"/>
  <c r="C4085"/>
  <c r="B4085"/>
  <c r="D4084"/>
  <c r="C4084"/>
  <c r="B4084"/>
  <c r="D4083"/>
  <c r="C4083"/>
  <c r="B4083"/>
  <c r="D4082"/>
  <c r="C4082"/>
  <c r="B4082"/>
  <c r="D4081"/>
  <c r="C4081"/>
  <c r="B4081"/>
  <c r="D4080"/>
  <c r="C4080"/>
  <c r="B4080"/>
  <c r="D4079"/>
  <c r="C4079"/>
  <c r="B4079"/>
  <c r="D4078"/>
  <c r="C4078"/>
  <c r="B4078"/>
  <c r="D4077"/>
  <c r="C4077"/>
  <c r="B4077"/>
  <c r="D4076"/>
  <c r="C4076"/>
  <c r="B4076"/>
  <c r="D4075"/>
  <c r="C4075"/>
  <c r="B4075"/>
  <c r="D4074"/>
  <c r="C4074"/>
  <c r="B4074"/>
  <c r="D4073"/>
  <c r="C4073"/>
  <c r="B4073"/>
  <c r="D4072"/>
  <c r="C4072"/>
  <c r="B4072"/>
  <c r="D4071"/>
  <c r="C4071"/>
  <c r="B4071"/>
  <c r="D4070"/>
  <c r="C4070"/>
  <c r="B4070"/>
  <c r="D4069"/>
  <c r="C4069"/>
  <c r="B4069"/>
  <c r="D4068"/>
  <c r="C4068"/>
  <c r="B4068"/>
  <c r="D4067"/>
  <c r="C4067"/>
  <c r="B4067"/>
  <c r="D4066"/>
  <c r="C4066"/>
  <c r="B4066"/>
  <c r="D4065"/>
  <c r="C4065"/>
  <c r="B4065"/>
  <c r="D4064"/>
  <c r="C4064"/>
  <c r="B4064"/>
  <c r="D4063"/>
  <c r="C4063"/>
  <c r="B4063"/>
  <c r="D4062"/>
  <c r="C4062"/>
  <c r="B4062"/>
  <c r="D4061"/>
  <c r="C4061"/>
  <c r="B4061"/>
  <c r="D4060"/>
  <c r="C4060"/>
  <c r="B4060"/>
  <c r="D4059"/>
  <c r="C4059"/>
  <c r="B4059"/>
  <c r="D4058"/>
  <c r="C4058"/>
  <c r="B4058"/>
  <c r="D4057"/>
  <c r="C4057"/>
  <c r="B4057"/>
  <c r="D4056"/>
  <c r="C4056"/>
  <c r="B4056"/>
  <c r="D4055"/>
  <c r="C4055"/>
  <c r="B4055"/>
  <c r="D4054"/>
  <c r="C4054"/>
  <c r="B4054"/>
  <c r="D4053"/>
  <c r="C4053"/>
  <c r="B4053"/>
  <c r="D4052"/>
  <c r="C4052"/>
  <c r="B4052"/>
  <c r="D4051"/>
  <c r="C4051"/>
  <c r="B4051"/>
  <c r="D4050"/>
  <c r="C4050"/>
  <c r="B4050"/>
  <c r="D4049"/>
  <c r="C4049"/>
  <c r="B4049"/>
  <c r="D4048"/>
  <c r="C4048"/>
  <c r="B4048"/>
  <c r="D4047"/>
  <c r="C4047"/>
  <c r="B4047"/>
  <c r="D4046"/>
  <c r="C4046"/>
  <c r="B4046"/>
  <c r="D4045"/>
  <c r="C4045"/>
  <c r="B4045"/>
  <c r="D4044"/>
  <c r="C4044"/>
  <c r="B4044"/>
  <c r="D4043"/>
  <c r="C4043"/>
  <c r="B4043"/>
  <c r="D4042"/>
  <c r="C4042"/>
  <c r="B4042"/>
  <c r="D4041"/>
  <c r="C4041"/>
  <c r="B4041"/>
  <c r="D4040"/>
  <c r="C4040"/>
  <c r="B4040"/>
  <c r="D4039"/>
  <c r="C4039"/>
  <c r="B4039"/>
  <c r="D4038"/>
  <c r="C4038"/>
  <c r="B4038"/>
  <c r="D4037"/>
  <c r="C4037"/>
  <c r="B4037"/>
  <c r="D4036"/>
  <c r="C4036"/>
  <c r="B4036"/>
  <c r="D4035"/>
  <c r="C4035"/>
  <c r="B4035"/>
  <c r="D4034"/>
  <c r="C4034"/>
  <c r="B4034"/>
  <c r="D4033"/>
  <c r="C4033"/>
  <c r="B4033"/>
  <c r="D4032"/>
  <c r="C4032"/>
  <c r="B4032"/>
  <c r="D4031"/>
  <c r="C4031"/>
  <c r="B4031"/>
  <c r="D4030"/>
  <c r="C4030"/>
  <c r="B4030"/>
  <c r="D4029"/>
  <c r="C4029"/>
  <c r="B4029"/>
  <c r="D4028"/>
  <c r="C4028"/>
  <c r="B4028"/>
  <c r="D4027"/>
  <c r="C4027"/>
  <c r="B4027"/>
  <c r="D4026"/>
  <c r="C4026"/>
  <c r="B4026"/>
  <c r="D4025"/>
  <c r="C4025"/>
  <c r="B4025"/>
  <c r="D4024"/>
  <c r="C4024"/>
  <c r="B4024"/>
  <c r="D4023"/>
  <c r="C4023"/>
  <c r="B4023"/>
  <c r="D4022"/>
  <c r="C4022"/>
  <c r="B4022"/>
  <c r="D4021"/>
  <c r="C4021"/>
  <c r="B4021"/>
  <c r="D4020"/>
  <c r="C4020"/>
  <c r="B4020"/>
  <c r="D4019"/>
  <c r="C4019"/>
  <c r="B4019"/>
  <c r="D4018"/>
  <c r="C4018"/>
  <c r="B4018"/>
  <c r="D4017"/>
  <c r="C4017"/>
  <c r="B4017"/>
  <c r="D4016"/>
  <c r="C4016"/>
  <c r="B4016"/>
  <c r="D4015"/>
  <c r="C4015"/>
  <c r="B4015"/>
  <c r="D4014"/>
  <c r="C4014"/>
  <c r="B4014"/>
  <c r="D4013"/>
  <c r="C4013"/>
  <c r="B4013"/>
  <c r="D4012"/>
  <c r="C4012"/>
  <c r="B4012"/>
  <c r="D4011"/>
  <c r="C4011"/>
  <c r="B4011"/>
  <c r="D4010"/>
  <c r="C4010"/>
  <c r="B4010"/>
  <c r="D4009"/>
  <c r="C4009"/>
  <c r="B4009"/>
  <c r="D4008"/>
  <c r="C4008"/>
  <c r="B4008"/>
  <c r="D4007"/>
  <c r="C4007"/>
  <c r="B4007"/>
  <c r="D4006"/>
  <c r="C4006"/>
  <c r="B4006"/>
  <c r="D4005"/>
  <c r="C4005"/>
  <c r="B4005"/>
  <c r="D4004"/>
  <c r="C4004"/>
  <c r="B4004"/>
  <c r="D4003"/>
  <c r="C4003"/>
  <c r="B4003"/>
  <c r="D4002"/>
  <c r="C4002"/>
  <c r="B4002"/>
  <c r="D4001"/>
  <c r="C4001"/>
  <c r="B4001"/>
  <c r="D4000"/>
  <c r="C4000"/>
  <c r="B4000"/>
  <c r="D3999"/>
  <c r="C3999"/>
  <c r="B3999"/>
  <c r="D3998"/>
  <c r="C3998"/>
  <c r="B3998"/>
  <c r="D3997"/>
  <c r="C3997"/>
  <c r="B3997"/>
  <c r="D3996"/>
  <c r="C3996"/>
  <c r="B3996"/>
  <c r="D3995"/>
  <c r="C3995"/>
  <c r="B3995"/>
  <c r="D3994"/>
  <c r="C3994"/>
  <c r="B3994"/>
  <c r="D3993"/>
  <c r="C3993"/>
  <c r="B3993"/>
  <c r="D3992"/>
  <c r="C3992"/>
  <c r="B3992"/>
  <c r="D3991"/>
  <c r="C3991"/>
  <c r="B3991"/>
  <c r="D3990"/>
  <c r="C3990"/>
  <c r="B3990"/>
  <c r="D3989"/>
  <c r="C3989"/>
  <c r="B3989"/>
  <c r="D3988"/>
  <c r="C3988"/>
  <c r="B3988"/>
  <c r="D3987"/>
  <c r="C3987"/>
  <c r="B3987"/>
  <c r="D3986"/>
  <c r="C3986"/>
  <c r="B3986"/>
  <c r="D3985"/>
  <c r="C3985"/>
  <c r="B3985"/>
  <c r="D3984"/>
  <c r="C3984"/>
  <c r="B3984"/>
  <c r="D3983"/>
  <c r="C3983"/>
  <c r="B3983"/>
  <c r="D3982"/>
  <c r="C3982"/>
  <c r="B3982"/>
  <c r="D3981"/>
  <c r="C3981"/>
  <c r="B3981"/>
  <c r="D3980"/>
  <c r="C3980"/>
  <c r="B3980"/>
  <c r="D3979"/>
  <c r="C3979"/>
  <c r="B3979"/>
  <c r="D3978"/>
  <c r="C3978"/>
  <c r="B3978"/>
  <c r="D3977"/>
  <c r="C3977"/>
  <c r="B3977"/>
  <c r="D3976"/>
  <c r="C3976"/>
  <c r="B3976"/>
  <c r="D3975"/>
  <c r="C3975"/>
  <c r="B3975"/>
  <c r="D3974"/>
  <c r="C3974"/>
  <c r="B3974"/>
  <c r="D3973"/>
  <c r="C3973"/>
  <c r="B3973"/>
  <c r="D3972"/>
  <c r="C3972"/>
  <c r="B3972"/>
  <c r="D3971"/>
  <c r="C3971"/>
  <c r="B3971"/>
  <c r="D3970"/>
  <c r="C3970"/>
  <c r="B3970"/>
  <c r="D3969"/>
  <c r="C3969"/>
  <c r="B3969"/>
  <c r="D3968"/>
  <c r="C3968"/>
  <c r="B3968"/>
  <c r="D3967"/>
  <c r="C3967"/>
  <c r="B3967"/>
  <c r="D3966"/>
  <c r="C3966"/>
  <c r="B3966"/>
  <c r="D3965"/>
  <c r="C3965"/>
  <c r="B3965"/>
  <c r="D3964"/>
  <c r="C3964"/>
  <c r="B3964"/>
  <c r="D3963"/>
  <c r="C3963"/>
  <c r="B3963"/>
  <c r="D3962"/>
  <c r="C3962"/>
  <c r="B3962"/>
  <c r="D3961"/>
  <c r="C3961"/>
  <c r="B3961"/>
  <c r="D3960"/>
  <c r="C3960"/>
  <c r="B3960"/>
  <c r="D3959"/>
  <c r="C3959"/>
  <c r="B3959"/>
  <c r="D3958"/>
  <c r="C3958"/>
  <c r="B3958"/>
  <c r="D3957"/>
  <c r="C3957"/>
  <c r="B3957"/>
  <c r="D3956"/>
  <c r="C3956"/>
  <c r="B3956"/>
  <c r="D3955"/>
  <c r="C3955"/>
  <c r="B3955"/>
  <c r="D3954"/>
  <c r="C3954"/>
  <c r="B3954"/>
  <c r="D3953"/>
  <c r="C3953"/>
  <c r="B3953"/>
  <c r="D3952"/>
  <c r="C3952"/>
  <c r="B3952"/>
  <c r="D3951"/>
  <c r="C3951"/>
  <c r="B3951"/>
  <c r="D3950"/>
  <c r="C3950"/>
  <c r="B3950"/>
  <c r="D3949"/>
  <c r="C3949"/>
  <c r="B3949"/>
  <c r="D3948"/>
  <c r="C3948"/>
  <c r="B3948"/>
  <c r="D3947"/>
  <c r="C3947"/>
  <c r="B3947"/>
  <c r="D3946"/>
  <c r="C3946"/>
  <c r="B3946"/>
  <c r="D3945"/>
  <c r="C3945"/>
  <c r="B3945"/>
  <c r="D3944"/>
  <c r="C3944"/>
  <c r="B3944"/>
  <c r="D3943"/>
  <c r="C3943"/>
  <c r="B3943"/>
  <c r="D3942"/>
  <c r="C3942"/>
  <c r="B3942"/>
  <c r="D3941"/>
  <c r="C3941"/>
  <c r="B3941"/>
  <c r="D3940"/>
  <c r="C3940"/>
  <c r="B3940"/>
  <c r="D3939"/>
  <c r="C3939"/>
  <c r="B3939"/>
  <c r="D3938"/>
  <c r="C3938"/>
  <c r="B3938"/>
  <c r="D3937"/>
  <c r="C3937"/>
  <c r="B3937"/>
  <c r="D3936"/>
  <c r="C3936"/>
  <c r="B3936"/>
  <c r="D3935"/>
  <c r="C3935"/>
  <c r="B3935"/>
  <c r="D3934"/>
  <c r="C3934"/>
  <c r="B3934"/>
  <c r="D3933"/>
  <c r="C3933"/>
  <c r="B3933"/>
  <c r="D3932"/>
  <c r="C3932"/>
  <c r="B3932"/>
  <c r="D3931"/>
  <c r="C3931"/>
  <c r="B3931"/>
  <c r="D3930"/>
  <c r="C3930"/>
  <c r="B3930"/>
  <c r="D3929"/>
  <c r="C3929"/>
  <c r="B3929"/>
  <c r="D3928"/>
  <c r="C3928"/>
  <c r="B3928"/>
  <c r="D3927"/>
  <c r="C3927"/>
  <c r="B3927"/>
  <c r="D3926"/>
  <c r="C3926"/>
  <c r="B3926"/>
  <c r="D3925"/>
  <c r="C3925"/>
  <c r="B3925"/>
  <c r="D3924"/>
  <c r="C3924"/>
  <c r="B3924"/>
  <c r="D3923"/>
  <c r="C3923"/>
  <c r="B3923"/>
  <c r="D3922"/>
  <c r="C3922"/>
  <c r="B3922"/>
  <c r="D3921"/>
  <c r="C3921"/>
  <c r="B3921"/>
  <c r="D3920"/>
  <c r="C3920"/>
  <c r="B3920"/>
  <c r="D3919"/>
  <c r="C3919"/>
  <c r="B3919"/>
  <c r="D3918"/>
  <c r="C3918"/>
  <c r="B3918"/>
  <c r="D3917"/>
  <c r="C3917"/>
  <c r="B3917"/>
  <c r="D3916"/>
  <c r="C3916"/>
  <c r="B3916"/>
  <c r="D3915"/>
  <c r="C3915"/>
  <c r="B3915"/>
  <c r="D3914"/>
  <c r="C3914"/>
  <c r="B3914"/>
  <c r="D3913"/>
  <c r="C3913"/>
  <c r="B3913"/>
  <c r="D3912"/>
  <c r="C3912"/>
  <c r="B3912"/>
  <c r="D3911"/>
  <c r="C3911"/>
  <c r="B3911"/>
  <c r="D3910"/>
  <c r="C3910"/>
  <c r="B3910"/>
  <c r="D3909"/>
  <c r="C3909"/>
  <c r="B3909"/>
  <c r="D3908"/>
  <c r="C3908"/>
  <c r="B3908"/>
  <c r="D3907"/>
  <c r="C3907"/>
  <c r="B3907"/>
  <c r="D3906"/>
  <c r="C3906"/>
  <c r="B3906"/>
  <c r="D3905"/>
  <c r="C3905"/>
  <c r="B3905"/>
  <c r="D3904"/>
  <c r="C3904"/>
  <c r="B3904"/>
  <c r="D3903"/>
  <c r="C3903"/>
  <c r="B3903"/>
  <c r="D3902"/>
  <c r="C3902"/>
  <c r="B3902"/>
  <c r="D3901"/>
  <c r="C3901"/>
  <c r="B3901"/>
  <c r="D3900"/>
  <c r="C3900"/>
  <c r="B3900"/>
  <c r="D3899"/>
  <c r="C3899"/>
  <c r="B3899"/>
  <c r="D3898"/>
  <c r="C3898"/>
  <c r="B3898"/>
  <c r="D3897"/>
  <c r="C3897"/>
  <c r="B3897"/>
  <c r="D3896"/>
  <c r="C3896"/>
  <c r="B3896"/>
  <c r="D3895"/>
  <c r="C3895"/>
  <c r="B3895"/>
  <c r="D3894"/>
  <c r="C3894"/>
  <c r="B3894"/>
  <c r="D3893"/>
  <c r="C3893"/>
  <c r="B3893"/>
  <c r="D3892"/>
  <c r="C3892"/>
  <c r="B3892"/>
  <c r="D3891"/>
  <c r="C3891"/>
  <c r="B3891"/>
  <c r="D3890"/>
  <c r="C3890"/>
  <c r="B3890"/>
  <c r="D3889"/>
  <c r="C3889"/>
  <c r="B3889"/>
  <c r="D3888"/>
  <c r="C3888"/>
  <c r="B3888"/>
  <c r="D3887"/>
  <c r="C3887"/>
  <c r="B3887"/>
  <c r="D3886"/>
  <c r="C3886"/>
  <c r="B3886"/>
  <c r="D3885"/>
  <c r="C3885"/>
  <c r="B3885"/>
  <c r="D3884"/>
  <c r="C3884"/>
  <c r="B3884"/>
  <c r="D3883"/>
  <c r="C3883"/>
  <c r="B3883"/>
  <c r="D3882"/>
  <c r="C3882"/>
  <c r="B3882"/>
  <c r="D3881"/>
  <c r="C3881"/>
  <c r="B3881"/>
  <c r="D3880"/>
  <c r="C3880"/>
  <c r="B3880"/>
  <c r="D3879"/>
  <c r="C3879"/>
  <c r="B3879"/>
  <c r="D3878"/>
  <c r="C3878"/>
  <c r="B3878"/>
  <c r="D3877"/>
  <c r="C3877"/>
  <c r="B3877"/>
  <c r="D3876"/>
  <c r="C3876"/>
  <c r="B3876"/>
  <c r="D3875"/>
  <c r="C3875"/>
  <c r="B3875"/>
  <c r="D3874"/>
  <c r="C3874"/>
  <c r="B3874"/>
  <c r="D3873"/>
  <c r="C3873"/>
  <c r="B3873"/>
  <c r="D3872"/>
  <c r="C3872"/>
  <c r="B3872"/>
  <c r="D3871"/>
  <c r="C3871"/>
  <c r="B3871"/>
  <c r="D3870"/>
  <c r="C3870"/>
  <c r="B3870"/>
  <c r="D3869"/>
  <c r="C3869"/>
  <c r="B3869"/>
  <c r="D3868"/>
  <c r="C3868"/>
  <c r="B3868"/>
  <c r="D3867"/>
  <c r="C3867"/>
  <c r="B3867"/>
  <c r="D3866"/>
  <c r="C3866"/>
  <c r="B3866"/>
  <c r="D3865"/>
  <c r="C3865"/>
  <c r="B3865"/>
  <c r="D3864"/>
  <c r="C3864"/>
  <c r="B3864"/>
  <c r="D3863"/>
  <c r="C3863"/>
  <c r="B3863"/>
  <c r="D3862"/>
  <c r="C3862"/>
  <c r="B3862"/>
  <c r="D3861"/>
  <c r="C3861"/>
  <c r="B3861"/>
  <c r="D3860"/>
  <c r="C3860"/>
  <c r="B3860"/>
  <c r="D3859"/>
  <c r="C3859"/>
  <c r="B3859"/>
  <c r="D3858"/>
  <c r="C3858"/>
  <c r="B3858"/>
  <c r="D3857"/>
  <c r="C3857"/>
  <c r="B3857"/>
  <c r="D3856"/>
  <c r="C3856"/>
  <c r="B3856"/>
  <c r="D3855"/>
  <c r="C3855"/>
  <c r="B3855"/>
  <c r="D3854"/>
  <c r="C3854"/>
  <c r="B3854"/>
  <c r="D3853"/>
  <c r="C3853"/>
  <c r="B3853"/>
  <c r="D3852"/>
  <c r="C3852"/>
  <c r="B3852"/>
  <c r="D3851"/>
  <c r="C3851"/>
  <c r="B3851"/>
  <c r="D3850"/>
  <c r="C3850"/>
  <c r="B3850"/>
  <c r="D3849"/>
  <c r="C3849"/>
  <c r="B3849"/>
  <c r="D3848"/>
  <c r="C3848"/>
  <c r="B3848"/>
  <c r="D3847"/>
  <c r="C3847"/>
  <c r="B3847"/>
  <c r="D3846"/>
  <c r="C3846"/>
  <c r="B3846"/>
  <c r="D3845"/>
  <c r="C3845"/>
  <c r="B3845"/>
  <c r="D3844"/>
  <c r="C3844"/>
  <c r="B3844"/>
  <c r="D3843"/>
  <c r="C3843"/>
  <c r="B3843"/>
  <c r="D3842"/>
  <c r="C3842"/>
  <c r="B3842"/>
  <c r="D3841"/>
  <c r="C3841"/>
  <c r="B3841"/>
  <c r="D3840"/>
  <c r="C3840"/>
  <c r="B3840"/>
  <c r="D3839"/>
  <c r="C3839"/>
  <c r="B3839"/>
  <c r="D3838"/>
  <c r="C3838"/>
  <c r="B3838"/>
  <c r="D3837"/>
  <c r="C3837"/>
  <c r="B3837"/>
  <c r="D3836"/>
  <c r="C3836"/>
  <c r="B3836"/>
  <c r="D3835"/>
  <c r="C3835"/>
  <c r="B3835"/>
  <c r="D3834"/>
  <c r="C3834"/>
  <c r="B3834"/>
  <c r="D3833"/>
  <c r="C3833"/>
  <c r="B3833"/>
  <c r="D3832"/>
  <c r="C3832"/>
  <c r="B3832"/>
  <c r="D3831"/>
  <c r="C3831"/>
  <c r="B3831"/>
  <c r="D3830"/>
  <c r="C3830"/>
  <c r="B3830"/>
  <c r="D3829"/>
  <c r="C3829"/>
  <c r="B3829"/>
  <c r="D3828"/>
  <c r="C3828"/>
  <c r="B3828"/>
  <c r="D3827"/>
  <c r="C3827"/>
  <c r="B3827"/>
  <c r="D3826"/>
  <c r="C3826"/>
  <c r="B3826"/>
  <c r="D3825"/>
  <c r="C3825"/>
  <c r="B3825"/>
  <c r="D3824"/>
  <c r="C3824"/>
  <c r="B3824"/>
  <c r="D3823"/>
  <c r="C3823"/>
  <c r="B3823"/>
  <c r="D3822"/>
  <c r="C3822"/>
  <c r="B3822"/>
  <c r="D3821"/>
  <c r="C3821"/>
  <c r="B3821"/>
  <c r="D3820"/>
  <c r="C3820"/>
  <c r="B3820"/>
  <c r="D3819"/>
  <c r="C3819"/>
  <c r="B3819"/>
  <c r="D3818"/>
  <c r="C3818"/>
  <c r="B3818"/>
  <c r="D3817"/>
  <c r="C3817"/>
  <c r="B3817"/>
  <c r="D3816"/>
  <c r="C3816"/>
  <c r="B3816"/>
  <c r="D3815"/>
  <c r="C3815"/>
  <c r="B3815"/>
  <c r="D3814"/>
  <c r="C3814"/>
  <c r="B3814"/>
  <c r="D3813"/>
  <c r="C3813"/>
  <c r="B3813"/>
  <c r="D3812"/>
  <c r="C3812"/>
  <c r="B3812"/>
  <c r="D3811"/>
  <c r="C3811"/>
  <c r="B3811"/>
  <c r="D3810"/>
  <c r="C3810"/>
  <c r="B3810"/>
  <c r="D3809"/>
  <c r="C3809"/>
  <c r="B3809"/>
  <c r="D3808"/>
  <c r="C3808"/>
  <c r="B3808"/>
  <c r="D3807"/>
  <c r="C3807"/>
  <c r="B3807"/>
  <c r="D3806"/>
  <c r="C3806"/>
  <c r="B3806"/>
  <c r="D3805"/>
  <c r="C3805"/>
  <c r="B3805"/>
  <c r="D3804"/>
  <c r="C3804"/>
  <c r="B3804"/>
  <c r="D3803"/>
  <c r="C3803"/>
  <c r="B3803"/>
  <c r="D3802"/>
  <c r="C3802"/>
  <c r="B3802"/>
  <c r="D3801"/>
  <c r="C3801"/>
  <c r="B3801"/>
  <c r="D3800"/>
  <c r="C3800"/>
  <c r="B3800"/>
  <c r="D3799"/>
  <c r="C3799"/>
  <c r="B3799"/>
  <c r="D3798"/>
  <c r="C3798"/>
  <c r="B3798"/>
  <c r="D3797"/>
  <c r="C3797"/>
  <c r="B3797"/>
  <c r="D3796"/>
  <c r="C3796"/>
  <c r="B3796"/>
  <c r="D3795"/>
  <c r="C3795"/>
  <c r="B3795"/>
  <c r="D3794"/>
  <c r="C3794"/>
  <c r="B3794"/>
  <c r="D3793"/>
  <c r="C3793"/>
  <c r="B3793"/>
  <c r="D3792"/>
  <c r="C3792"/>
  <c r="B3792"/>
  <c r="D3791"/>
  <c r="C3791"/>
  <c r="B3791"/>
  <c r="D3790"/>
  <c r="C3790"/>
  <c r="B3790"/>
  <c r="D3789"/>
  <c r="C3789"/>
  <c r="B3789"/>
  <c r="D3788"/>
  <c r="C3788"/>
  <c r="B3788"/>
  <c r="D3787"/>
  <c r="C3787"/>
  <c r="B3787"/>
  <c r="D3786"/>
  <c r="C3786"/>
  <c r="B3786"/>
  <c r="D3785"/>
  <c r="C3785"/>
  <c r="B3785"/>
  <c r="D3784"/>
  <c r="C3784"/>
  <c r="B3784"/>
  <c r="D3783"/>
  <c r="C3783"/>
  <c r="B3783"/>
  <c r="D3782"/>
  <c r="C3782"/>
  <c r="B3782"/>
  <c r="D3781"/>
  <c r="C3781"/>
  <c r="B3781"/>
  <c r="D3780"/>
  <c r="C3780"/>
  <c r="B3780"/>
  <c r="D3779"/>
  <c r="C3779"/>
  <c r="B3779"/>
  <c r="D3778"/>
  <c r="C3778"/>
  <c r="B3778"/>
  <c r="D3777"/>
  <c r="C3777"/>
  <c r="B3777"/>
  <c r="D3776"/>
  <c r="C3776"/>
  <c r="B3776"/>
  <c r="D3775"/>
  <c r="C3775"/>
  <c r="B3775"/>
  <c r="D3774"/>
  <c r="C3774"/>
  <c r="B3774"/>
  <c r="D3773"/>
  <c r="C3773"/>
  <c r="B3773"/>
  <c r="D3772"/>
  <c r="C3772"/>
  <c r="B3772"/>
  <c r="D3771"/>
  <c r="C3771"/>
  <c r="B3771"/>
  <c r="D3770"/>
  <c r="C3770"/>
  <c r="B3770"/>
  <c r="D3769"/>
  <c r="C3769"/>
  <c r="B3769"/>
  <c r="D3768"/>
  <c r="C3768"/>
  <c r="B3768"/>
  <c r="D3767"/>
  <c r="C3767"/>
  <c r="B3767"/>
  <c r="D3766"/>
  <c r="C3766"/>
  <c r="B3766"/>
  <c r="D3765"/>
  <c r="C3765"/>
  <c r="B3765"/>
  <c r="D3764"/>
  <c r="C3764"/>
  <c r="B3764"/>
  <c r="D3763"/>
  <c r="C3763"/>
  <c r="B3763"/>
  <c r="D3762"/>
  <c r="C3762"/>
  <c r="B3762"/>
  <c r="D3761"/>
  <c r="C3761"/>
  <c r="B3761"/>
  <c r="D3760"/>
  <c r="C3760"/>
  <c r="B3760"/>
  <c r="D3759"/>
  <c r="C3759"/>
  <c r="B3759"/>
  <c r="D3758"/>
  <c r="C3758"/>
  <c r="B3758"/>
  <c r="D3757"/>
  <c r="C3757"/>
  <c r="B3757"/>
  <c r="D3756"/>
  <c r="C3756"/>
  <c r="B3756"/>
  <c r="D3755"/>
  <c r="C3755"/>
  <c r="B3755"/>
  <c r="D3754"/>
  <c r="C3754"/>
  <c r="B3754"/>
  <c r="D3753"/>
  <c r="C3753"/>
  <c r="B3753"/>
  <c r="D3752"/>
  <c r="C3752"/>
  <c r="B3752"/>
  <c r="D3751"/>
  <c r="C3751"/>
  <c r="B3751"/>
  <c r="D3750"/>
  <c r="C3750"/>
  <c r="B3750"/>
  <c r="D3749"/>
  <c r="C3749"/>
  <c r="B3749"/>
  <c r="D3748"/>
  <c r="C3748"/>
  <c r="B3748"/>
  <c r="D3747"/>
  <c r="C3747"/>
  <c r="B3747"/>
  <c r="D3746"/>
  <c r="C3746"/>
  <c r="B3746"/>
  <c r="D3745"/>
  <c r="C3745"/>
  <c r="B3745"/>
  <c r="D3744"/>
  <c r="C3744"/>
  <c r="B3744"/>
  <c r="D3743"/>
  <c r="C3743"/>
  <c r="B3743"/>
  <c r="D3742"/>
  <c r="C3742"/>
  <c r="B3742"/>
  <c r="D3741"/>
  <c r="C3741"/>
  <c r="B3741"/>
  <c r="D3740"/>
  <c r="C3740"/>
  <c r="B3740"/>
  <c r="D3739"/>
  <c r="C3739"/>
  <c r="B3739"/>
  <c r="D3738"/>
  <c r="C3738"/>
  <c r="B3738"/>
  <c r="D3737"/>
  <c r="C3737"/>
  <c r="B3737"/>
  <c r="D3736"/>
  <c r="C3736"/>
  <c r="B3736"/>
  <c r="D3735"/>
  <c r="C3735"/>
  <c r="B3735"/>
  <c r="D3734"/>
  <c r="C3734"/>
  <c r="B3734"/>
  <c r="D3733"/>
  <c r="C3733"/>
  <c r="B3733"/>
  <c r="D3732"/>
  <c r="C3732"/>
  <c r="B3732"/>
  <c r="D3731"/>
  <c r="C3731"/>
  <c r="B3731"/>
  <c r="D3730"/>
  <c r="C3730"/>
  <c r="B3730"/>
  <c r="D3729"/>
  <c r="C3729"/>
  <c r="B3729"/>
  <c r="D3728"/>
  <c r="C3728"/>
  <c r="B3728"/>
  <c r="D3727"/>
  <c r="C3727"/>
  <c r="B3727"/>
  <c r="D3726"/>
  <c r="C3726"/>
  <c r="B3726"/>
  <c r="D3725"/>
  <c r="C3725"/>
  <c r="B3725"/>
  <c r="D3724"/>
  <c r="C3724"/>
  <c r="B3724"/>
  <c r="D3723"/>
  <c r="C3723"/>
  <c r="B3723"/>
  <c r="D3722"/>
  <c r="C3722"/>
  <c r="B3722"/>
  <c r="D3721"/>
  <c r="C3721"/>
  <c r="B3721"/>
  <c r="D3720"/>
  <c r="C3720"/>
  <c r="B3720"/>
  <c r="D3719"/>
  <c r="C3719"/>
  <c r="B3719"/>
  <c r="D3718"/>
  <c r="C3718"/>
  <c r="B3718"/>
  <c r="D3717"/>
  <c r="C3717"/>
  <c r="B3717"/>
  <c r="D3716"/>
  <c r="C3716"/>
  <c r="B3716"/>
  <c r="D3715"/>
  <c r="C3715"/>
  <c r="B3715"/>
  <c r="D3714"/>
  <c r="C3714"/>
  <c r="B3714"/>
  <c r="D3713"/>
  <c r="C3713"/>
  <c r="B3713"/>
  <c r="D3712"/>
  <c r="C3712"/>
  <c r="B3712"/>
  <c r="D3711"/>
  <c r="C3711"/>
  <c r="B3711"/>
  <c r="D3710"/>
  <c r="C3710"/>
  <c r="B3710"/>
  <c r="D3709"/>
  <c r="C3709"/>
  <c r="B3709"/>
  <c r="D3708"/>
  <c r="C3708"/>
  <c r="B3708"/>
  <c r="D3707"/>
  <c r="C3707"/>
  <c r="B3707"/>
  <c r="D3706"/>
  <c r="C3706"/>
  <c r="B3706"/>
  <c r="D3705"/>
  <c r="C3705"/>
  <c r="B3705"/>
  <c r="D3704"/>
  <c r="C3704"/>
  <c r="B3704"/>
  <c r="D3703"/>
  <c r="C3703"/>
  <c r="B3703"/>
  <c r="D3702"/>
  <c r="C3702"/>
  <c r="B3702"/>
  <c r="D3701"/>
  <c r="C3701"/>
  <c r="B3701"/>
  <c r="D3700"/>
  <c r="C3700"/>
  <c r="B3700"/>
  <c r="D3699"/>
  <c r="C3699"/>
  <c r="B3699"/>
  <c r="D3698"/>
  <c r="C3698"/>
  <c r="B3698"/>
  <c r="D3697"/>
  <c r="C3697"/>
  <c r="B3697"/>
  <c r="D3696"/>
  <c r="C3696"/>
  <c r="B3696"/>
  <c r="D3695"/>
  <c r="C3695"/>
  <c r="B3695"/>
  <c r="D3694"/>
  <c r="C3694"/>
  <c r="B3694"/>
  <c r="D3693"/>
  <c r="C3693"/>
  <c r="B3693"/>
  <c r="D3692"/>
  <c r="C3692"/>
  <c r="B3692"/>
  <c r="D3691"/>
  <c r="C3691"/>
  <c r="B3691"/>
  <c r="D3690"/>
  <c r="C3690"/>
  <c r="B3690"/>
  <c r="D3689"/>
  <c r="C3689"/>
  <c r="B3689"/>
  <c r="D3688"/>
  <c r="C3688"/>
  <c r="B3688"/>
  <c r="D3687"/>
  <c r="C3687"/>
  <c r="B3687"/>
  <c r="D3686"/>
  <c r="C3686"/>
  <c r="B3686"/>
  <c r="D3685"/>
  <c r="C3685"/>
  <c r="B3685"/>
  <c r="D3684"/>
  <c r="C3684"/>
  <c r="B3684"/>
  <c r="D3683"/>
  <c r="C3683"/>
  <c r="B3683"/>
  <c r="D3682"/>
  <c r="C3682"/>
  <c r="B3682"/>
  <c r="D3681"/>
  <c r="C3681"/>
  <c r="B3681"/>
  <c r="D3680"/>
  <c r="C3680"/>
  <c r="B3680"/>
  <c r="D3679"/>
  <c r="C3679"/>
  <c r="B3679"/>
  <c r="D3678"/>
  <c r="C3678"/>
  <c r="B3678"/>
  <c r="D3677"/>
  <c r="C3677"/>
  <c r="B3677"/>
  <c r="D3676"/>
  <c r="C3676"/>
  <c r="B3676"/>
  <c r="D3675"/>
  <c r="C3675"/>
  <c r="B3675"/>
  <c r="D3674"/>
  <c r="C3674"/>
  <c r="B3674"/>
  <c r="D3673"/>
  <c r="C3673"/>
  <c r="B3673"/>
  <c r="D3672"/>
  <c r="C3672"/>
  <c r="B3672"/>
  <c r="D3671"/>
  <c r="C3671"/>
  <c r="B3671"/>
  <c r="D3670"/>
  <c r="C3670"/>
  <c r="B3670"/>
  <c r="D3669"/>
  <c r="C3669"/>
  <c r="B3669"/>
  <c r="D3668"/>
  <c r="C3668"/>
  <c r="B3668"/>
  <c r="D3667"/>
  <c r="C3667"/>
  <c r="B3667"/>
  <c r="D3666"/>
  <c r="C3666"/>
  <c r="B3666"/>
  <c r="D3665"/>
  <c r="C3665"/>
  <c r="B3665"/>
  <c r="D3664"/>
  <c r="C3664"/>
  <c r="B3664"/>
  <c r="D3663"/>
  <c r="C3663"/>
  <c r="B3663"/>
  <c r="D3662"/>
  <c r="C3662"/>
  <c r="B3662"/>
  <c r="D3661"/>
  <c r="C3661"/>
  <c r="B3661"/>
  <c r="D3660"/>
  <c r="C3660"/>
  <c r="B3660"/>
  <c r="D3659"/>
  <c r="C3659"/>
  <c r="B3659"/>
  <c r="D3658"/>
  <c r="C3658"/>
  <c r="B3658"/>
  <c r="D3657"/>
  <c r="C3657"/>
  <c r="B3657"/>
  <c r="D3656"/>
  <c r="C3656"/>
  <c r="B3656"/>
  <c r="D3655"/>
  <c r="C3655"/>
  <c r="B3655"/>
  <c r="D3654"/>
  <c r="C3654"/>
  <c r="B3654"/>
  <c r="D3653"/>
  <c r="C3653"/>
  <c r="B3653"/>
  <c r="D3652"/>
  <c r="C3652"/>
  <c r="B3652"/>
  <c r="D3651"/>
  <c r="C3651"/>
  <c r="B3651"/>
  <c r="D3650"/>
  <c r="C3650"/>
  <c r="B3650"/>
  <c r="D3649"/>
  <c r="C3649"/>
  <c r="B3649"/>
  <c r="D3648"/>
  <c r="C3648"/>
  <c r="B3648"/>
  <c r="D3647"/>
  <c r="C3647"/>
  <c r="B3647"/>
  <c r="D3646"/>
  <c r="C3646"/>
  <c r="B3646"/>
  <c r="D3645"/>
  <c r="C3645"/>
  <c r="B3645"/>
  <c r="D3644"/>
  <c r="C3644"/>
  <c r="B3644"/>
  <c r="D3643"/>
  <c r="C3643"/>
  <c r="B3643"/>
  <c r="D3642"/>
  <c r="C3642"/>
  <c r="B3642"/>
  <c r="D3641"/>
  <c r="C3641"/>
  <c r="B3641"/>
  <c r="D3640"/>
  <c r="C3640"/>
  <c r="B3640"/>
  <c r="D3639"/>
  <c r="C3639"/>
  <c r="B3639"/>
  <c r="D3638"/>
  <c r="C3638"/>
  <c r="B3638"/>
  <c r="D3637"/>
  <c r="C3637"/>
  <c r="B3637"/>
  <c r="D3636"/>
  <c r="C3636"/>
  <c r="B3636"/>
  <c r="D3635"/>
  <c r="C3635"/>
  <c r="B3635"/>
  <c r="D3634"/>
  <c r="C3634"/>
  <c r="B3634"/>
  <c r="D3633"/>
  <c r="C3633"/>
  <c r="B3633"/>
  <c r="D3632"/>
  <c r="C3632"/>
  <c r="B3632"/>
  <c r="D3631"/>
  <c r="C3631"/>
  <c r="B3631"/>
  <c r="D3630"/>
  <c r="C3630"/>
  <c r="B3630"/>
  <c r="D3629"/>
  <c r="C3629"/>
  <c r="B3629"/>
  <c r="D3628"/>
  <c r="C3628"/>
  <c r="B3628"/>
  <c r="D3627"/>
  <c r="C3627"/>
  <c r="B3627"/>
  <c r="D3626"/>
  <c r="C3626"/>
  <c r="B3626"/>
  <c r="D3625"/>
  <c r="C3625"/>
  <c r="B3625"/>
  <c r="D3624"/>
  <c r="C3624"/>
  <c r="B3624"/>
  <c r="D3623"/>
  <c r="C3623"/>
  <c r="B3623"/>
  <c r="D3622"/>
  <c r="C3622"/>
  <c r="B3622"/>
  <c r="D3621"/>
  <c r="C3621"/>
  <c r="B3621"/>
  <c r="D3620"/>
  <c r="C3620"/>
  <c r="B3620"/>
  <c r="D3619"/>
  <c r="C3619"/>
  <c r="B3619"/>
  <c r="D3618"/>
  <c r="C3618"/>
  <c r="B3618"/>
  <c r="D3617"/>
  <c r="C3617"/>
  <c r="B3617"/>
  <c r="D3616"/>
  <c r="C3616"/>
  <c r="B3616"/>
  <c r="D3615"/>
  <c r="C3615"/>
  <c r="B3615"/>
  <c r="D3614"/>
  <c r="C3614"/>
  <c r="B3614"/>
  <c r="D3613"/>
  <c r="C3613"/>
  <c r="B3613"/>
  <c r="D3612"/>
  <c r="C3612"/>
  <c r="B3612"/>
  <c r="D3611"/>
  <c r="C3611"/>
  <c r="B3611"/>
  <c r="D3610"/>
  <c r="C3610"/>
  <c r="B3610"/>
  <c r="D3609"/>
  <c r="C3609"/>
  <c r="B3609"/>
  <c r="D3608"/>
  <c r="C3608"/>
  <c r="B3608"/>
  <c r="D3607"/>
  <c r="C3607"/>
  <c r="B3607"/>
  <c r="D3606"/>
  <c r="C3606"/>
  <c r="B3606"/>
  <c r="D3605"/>
  <c r="C3605"/>
  <c r="B3605"/>
  <c r="D3604"/>
  <c r="C3604"/>
  <c r="B3604"/>
  <c r="D3603"/>
  <c r="C3603"/>
  <c r="B3603"/>
  <c r="D3602"/>
  <c r="C3602"/>
  <c r="B3602"/>
  <c r="D3601"/>
  <c r="C3601"/>
  <c r="B3601"/>
  <c r="D3600"/>
  <c r="C3600"/>
  <c r="B3600"/>
  <c r="D3599"/>
  <c r="C3599"/>
  <c r="B3599"/>
  <c r="D3598"/>
  <c r="C3598"/>
  <c r="B3598"/>
  <c r="D3597"/>
  <c r="C3597"/>
  <c r="B3597"/>
  <c r="D3596"/>
  <c r="C3596"/>
  <c r="B3596"/>
  <c r="D3595"/>
  <c r="C3595"/>
  <c r="B3595"/>
  <c r="D3594"/>
  <c r="C3594"/>
  <c r="B3594"/>
  <c r="D3593"/>
  <c r="C3593"/>
  <c r="B3593"/>
  <c r="D3592"/>
  <c r="C3592"/>
  <c r="B3592"/>
  <c r="D3591"/>
  <c r="C3591"/>
  <c r="B3591"/>
  <c r="D3590"/>
  <c r="C3590"/>
  <c r="B3590"/>
  <c r="D3589"/>
  <c r="C3589"/>
  <c r="B3589"/>
  <c r="D3588"/>
  <c r="C3588"/>
  <c r="B3588"/>
  <c r="D3587"/>
  <c r="C3587"/>
  <c r="B3587"/>
  <c r="D3586"/>
  <c r="C3586"/>
  <c r="B3586"/>
  <c r="D3585"/>
  <c r="C3585"/>
  <c r="B3585"/>
  <c r="D3584"/>
  <c r="C3584"/>
  <c r="B3584"/>
  <c r="D3583"/>
  <c r="C3583"/>
  <c r="B3583"/>
  <c r="D3582"/>
  <c r="C3582"/>
  <c r="B3582"/>
  <c r="D3581"/>
  <c r="C3581"/>
  <c r="B3581"/>
  <c r="D3580"/>
  <c r="C3580"/>
  <c r="B3580"/>
  <c r="D3579"/>
  <c r="C3579"/>
  <c r="B3579"/>
  <c r="D3578"/>
  <c r="C3578"/>
  <c r="B3578"/>
  <c r="D3577"/>
  <c r="C3577"/>
  <c r="B3577"/>
  <c r="D3576"/>
  <c r="C3576"/>
  <c r="B3576"/>
  <c r="D3575"/>
  <c r="C3575"/>
  <c r="B3575"/>
  <c r="D3574"/>
  <c r="C3574"/>
  <c r="B3574"/>
  <c r="D3573"/>
  <c r="C3573"/>
  <c r="B3573"/>
  <c r="D3572"/>
  <c r="C3572"/>
  <c r="B3572"/>
  <c r="D3571"/>
  <c r="C3571"/>
  <c r="B3571"/>
  <c r="D3570"/>
  <c r="C3570"/>
  <c r="B3570"/>
  <c r="D3569"/>
  <c r="C3569"/>
  <c r="B3569"/>
  <c r="D3568"/>
  <c r="C3568"/>
  <c r="B3568"/>
  <c r="D3567"/>
  <c r="C3567"/>
  <c r="B3567"/>
  <c r="D3566"/>
  <c r="C3566"/>
  <c r="B3566"/>
  <c r="D3565"/>
  <c r="C3565"/>
  <c r="B3565"/>
  <c r="D3564"/>
  <c r="C3564"/>
  <c r="B3564"/>
  <c r="D3563"/>
  <c r="C3563"/>
  <c r="B3563"/>
  <c r="D3562"/>
  <c r="C3562"/>
  <c r="B3562"/>
  <c r="D3561"/>
  <c r="C3561"/>
  <c r="B3561"/>
  <c r="D3560"/>
  <c r="C3560"/>
  <c r="B3560"/>
  <c r="D3559"/>
  <c r="C3559"/>
  <c r="B3559"/>
  <c r="D3558"/>
  <c r="C3558"/>
  <c r="B3558"/>
  <c r="D3557"/>
  <c r="C3557"/>
  <c r="B3557"/>
  <c r="D3556"/>
  <c r="C3556"/>
  <c r="B3556"/>
  <c r="D3555"/>
  <c r="C3555"/>
  <c r="B3555"/>
  <c r="D3554"/>
  <c r="C3554"/>
  <c r="B3554"/>
  <c r="D3553"/>
  <c r="C3553"/>
  <c r="B3553"/>
  <c r="D3552"/>
  <c r="C3552"/>
  <c r="B3552"/>
  <c r="D3551"/>
  <c r="C3551"/>
  <c r="B3551"/>
  <c r="D3550"/>
  <c r="C3550"/>
  <c r="B3550"/>
  <c r="D3549"/>
  <c r="C3549"/>
  <c r="B3549"/>
  <c r="D3548"/>
  <c r="C3548"/>
  <c r="B3548"/>
  <c r="D3547"/>
  <c r="C3547"/>
  <c r="B3547"/>
  <c r="D3546"/>
  <c r="C3546"/>
  <c r="B3546"/>
  <c r="D3545"/>
  <c r="C3545"/>
  <c r="B3545"/>
  <c r="D3544"/>
  <c r="C3544"/>
  <c r="B3544"/>
  <c r="D3543"/>
  <c r="C3543"/>
  <c r="B3543"/>
  <c r="D3542"/>
  <c r="C3542"/>
  <c r="B3542"/>
  <c r="D3541"/>
  <c r="C3541"/>
  <c r="B3541"/>
  <c r="D3540"/>
  <c r="C3540"/>
  <c r="B3540"/>
  <c r="D3539"/>
  <c r="C3539"/>
  <c r="B3539"/>
  <c r="D3538"/>
  <c r="C3538"/>
  <c r="B3538"/>
  <c r="D3537"/>
  <c r="C3537"/>
  <c r="B3537"/>
  <c r="D3536"/>
  <c r="C3536"/>
  <c r="B3536"/>
  <c r="D3535"/>
  <c r="C3535"/>
  <c r="B3535"/>
  <c r="D3534"/>
  <c r="C3534"/>
  <c r="B3534"/>
  <c r="D3533"/>
  <c r="C3533"/>
  <c r="B3533"/>
  <c r="D3532"/>
  <c r="C3532"/>
  <c r="B3532"/>
  <c r="D3531"/>
  <c r="C3531"/>
  <c r="B3531"/>
  <c r="D3530"/>
  <c r="C3530"/>
  <c r="B3530"/>
  <c r="D3529"/>
  <c r="C3529"/>
  <c r="B3529"/>
  <c r="D3528"/>
  <c r="C3528"/>
  <c r="B3528"/>
  <c r="D3527"/>
  <c r="C3527"/>
  <c r="B3527"/>
  <c r="D3526"/>
  <c r="C3526"/>
  <c r="B3526"/>
  <c r="D3525"/>
  <c r="C3525"/>
  <c r="B3525"/>
  <c r="D3524"/>
  <c r="C3524"/>
  <c r="B3524"/>
  <c r="D3523"/>
  <c r="C3523"/>
  <c r="B3523"/>
  <c r="D3522"/>
  <c r="C3522"/>
  <c r="B3522"/>
  <c r="D3521"/>
  <c r="C3521"/>
  <c r="B3521"/>
  <c r="D3520"/>
  <c r="C3520"/>
  <c r="B3520"/>
  <c r="D3519"/>
  <c r="C3519"/>
  <c r="B3519"/>
  <c r="D3518"/>
  <c r="C3518"/>
  <c r="B3518"/>
  <c r="D3517"/>
  <c r="C3517"/>
  <c r="B3517"/>
  <c r="D3516"/>
  <c r="C3516"/>
  <c r="B3516"/>
  <c r="D3515"/>
  <c r="C3515"/>
  <c r="B3515"/>
  <c r="D3514"/>
  <c r="C3514"/>
  <c r="B3514"/>
  <c r="D3513"/>
  <c r="C3513"/>
  <c r="B3513"/>
  <c r="D3512"/>
  <c r="C3512"/>
  <c r="B3512"/>
  <c r="D3511"/>
  <c r="C3511"/>
  <c r="B3511"/>
  <c r="D3510"/>
  <c r="C3510"/>
  <c r="B3510"/>
  <c r="D3509"/>
  <c r="C3509"/>
  <c r="B3509"/>
  <c r="D3508"/>
  <c r="C3508"/>
  <c r="B3508"/>
  <c r="D3507"/>
  <c r="C3507"/>
  <c r="B3507"/>
  <c r="D3506"/>
  <c r="C3506"/>
  <c r="B3506"/>
  <c r="D3505"/>
  <c r="C3505"/>
  <c r="B3505"/>
  <c r="D3504"/>
  <c r="C3504"/>
  <c r="B3504"/>
  <c r="D3503"/>
  <c r="C3503"/>
  <c r="B3503"/>
  <c r="D3502"/>
  <c r="C3502"/>
  <c r="B3502"/>
  <c r="D3501"/>
  <c r="C3501"/>
  <c r="B3501"/>
  <c r="D3500"/>
  <c r="C3500"/>
  <c r="B3500"/>
  <c r="D3499"/>
  <c r="C3499"/>
  <c r="B3499"/>
  <c r="D3498"/>
  <c r="C3498"/>
  <c r="B3498"/>
  <c r="D3497"/>
  <c r="C3497"/>
  <c r="B3497"/>
  <c r="D3496"/>
  <c r="C3496"/>
  <c r="B3496"/>
  <c r="D3495"/>
  <c r="C3495"/>
  <c r="B3495"/>
  <c r="D3494"/>
  <c r="C3494"/>
  <c r="B3494"/>
  <c r="D3493"/>
  <c r="C3493"/>
  <c r="B3493"/>
  <c r="D3492"/>
  <c r="C3492"/>
  <c r="B3492"/>
  <c r="D3491"/>
  <c r="C3491"/>
  <c r="B3491"/>
  <c r="D3490"/>
  <c r="C3490"/>
  <c r="B3490"/>
  <c r="D3489"/>
  <c r="C3489"/>
  <c r="B3489"/>
  <c r="D3488"/>
  <c r="C3488"/>
  <c r="B3488"/>
  <c r="D3487"/>
  <c r="C3487"/>
  <c r="B3487"/>
  <c r="D3486"/>
  <c r="C3486"/>
  <c r="B3486"/>
  <c r="D3485"/>
  <c r="C3485"/>
  <c r="B3485"/>
  <c r="D3484"/>
  <c r="C3484"/>
  <c r="B3484"/>
  <c r="D3483"/>
  <c r="C3483"/>
  <c r="B3483"/>
  <c r="D3482"/>
  <c r="C3482"/>
  <c r="B3482"/>
  <c r="D3481"/>
  <c r="C3481"/>
  <c r="B3481"/>
  <c r="D3480"/>
  <c r="C3480"/>
  <c r="B3480"/>
  <c r="D3479"/>
  <c r="C3479"/>
  <c r="B3479"/>
  <c r="D3478"/>
  <c r="C3478"/>
  <c r="B3478"/>
  <c r="D3477"/>
  <c r="C3477"/>
  <c r="B3477"/>
  <c r="D3476"/>
  <c r="C3476"/>
  <c r="B3476"/>
  <c r="D3475"/>
  <c r="C3475"/>
  <c r="B3475"/>
  <c r="D3474"/>
  <c r="C3474"/>
  <c r="B3474"/>
  <c r="D3473"/>
  <c r="C3473"/>
  <c r="B3473"/>
  <c r="D3472"/>
  <c r="C3472"/>
  <c r="B3472"/>
  <c r="D3471"/>
  <c r="C3471"/>
  <c r="B3471"/>
  <c r="D3470"/>
  <c r="C3470"/>
  <c r="B3470"/>
  <c r="D3469"/>
  <c r="C3469"/>
  <c r="B3469"/>
  <c r="D3468"/>
  <c r="C3468"/>
  <c r="B3468"/>
  <c r="D3467"/>
  <c r="C3467"/>
  <c r="B3467"/>
  <c r="D3466"/>
  <c r="C3466"/>
  <c r="B3466"/>
  <c r="D3465"/>
  <c r="C3465"/>
  <c r="B3465"/>
  <c r="D3464"/>
  <c r="C3464"/>
  <c r="B3464"/>
  <c r="D3463"/>
  <c r="C3463"/>
  <c r="B3463"/>
  <c r="D3462"/>
  <c r="C3462"/>
  <c r="B3462"/>
  <c r="D3461"/>
  <c r="C3461"/>
  <c r="B3461"/>
  <c r="D3460"/>
  <c r="C3460"/>
  <c r="B3460"/>
  <c r="D3459"/>
  <c r="C3459"/>
  <c r="B3459"/>
  <c r="D3458"/>
  <c r="C3458"/>
  <c r="B3458"/>
  <c r="D3457"/>
  <c r="C3457"/>
  <c r="B3457"/>
  <c r="D3456"/>
  <c r="C3456"/>
  <c r="B3456"/>
  <c r="D3455"/>
  <c r="C3455"/>
  <c r="B3455"/>
  <c r="D3454"/>
  <c r="C3454"/>
  <c r="B3454"/>
  <c r="D3453"/>
  <c r="C3453"/>
  <c r="B3453"/>
  <c r="D3452"/>
  <c r="C3452"/>
  <c r="B3452"/>
  <c r="D3451"/>
  <c r="C3451"/>
  <c r="B3451"/>
  <c r="D3450"/>
  <c r="C3450"/>
  <c r="B3450"/>
  <c r="D3449"/>
  <c r="C3449"/>
  <c r="B3449"/>
  <c r="D3448"/>
  <c r="C3448"/>
  <c r="B3448"/>
  <c r="D3447"/>
  <c r="C3447"/>
  <c r="B3447"/>
  <c r="D3446"/>
  <c r="C3446"/>
  <c r="B3446"/>
  <c r="D3445"/>
  <c r="C3445"/>
  <c r="B3445"/>
  <c r="D3444"/>
  <c r="C3444"/>
  <c r="B3444"/>
  <c r="D3443"/>
  <c r="C3443"/>
  <c r="B3443"/>
  <c r="D3442"/>
  <c r="C3442"/>
  <c r="B3442"/>
  <c r="D3441"/>
  <c r="C3441"/>
  <c r="B3441"/>
  <c r="D3440"/>
  <c r="C3440"/>
  <c r="B3440"/>
  <c r="D3439"/>
  <c r="C3439"/>
  <c r="B3439"/>
  <c r="D3438"/>
  <c r="C3438"/>
  <c r="B3438"/>
  <c r="D3437"/>
  <c r="C3437"/>
  <c r="B3437"/>
  <c r="D3436"/>
  <c r="C3436"/>
  <c r="B3436"/>
  <c r="D3435"/>
  <c r="C3435"/>
  <c r="B3435"/>
  <c r="D3434"/>
  <c r="C3434"/>
  <c r="B3434"/>
  <c r="D3433"/>
  <c r="C3433"/>
  <c r="B3433"/>
  <c r="D3432"/>
  <c r="C3432"/>
  <c r="B3432"/>
  <c r="D3431"/>
  <c r="C3431"/>
  <c r="B3431"/>
  <c r="D3430"/>
  <c r="C3430"/>
  <c r="B3430"/>
  <c r="D3429"/>
  <c r="C3429"/>
  <c r="B3429"/>
  <c r="D3428"/>
  <c r="C3428"/>
  <c r="B3428"/>
  <c r="D3427"/>
  <c r="C3427"/>
  <c r="B3427"/>
  <c r="D3426"/>
  <c r="C3426"/>
  <c r="B3426"/>
  <c r="D3425"/>
  <c r="C3425"/>
  <c r="B3425"/>
  <c r="D3424"/>
  <c r="C3424"/>
  <c r="B3424"/>
  <c r="D3423"/>
  <c r="C3423"/>
  <c r="B3423"/>
  <c r="D3422"/>
  <c r="C3422"/>
  <c r="B3422"/>
  <c r="D3421"/>
  <c r="C3421"/>
  <c r="B3421"/>
  <c r="D3420"/>
  <c r="C3420"/>
  <c r="B3420"/>
  <c r="D3419"/>
  <c r="C3419"/>
  <c r="B3419"/>
  <c r="D3418"/>
  <c r="C3418"/>
  <c r="B3418"/>
  <c r="D3417"/>
  <c r="C3417"/>
  <c r="B3417"/>
  <c r="D3416"/>
  <c r="C3416"/>
  <c r="B3416"/>
  <c r="D3415"/>
  <c r="C3415"/>
  <c r="B3415"/>
  <c r="D3414"/>
  <c r="C3414"/>
  <c r="B3414"/>
  <c r="D3413"/>
  <c r="C3413"/>
  <c r="B3413"/>
  <c r="D3412"/>
  <c r="C3412"/>
  <c r="B3412"/>
  <c r="D3411"/>
  <c r="C3411"/>
  <c r="B3411"/>
  <c r="D3410"/>
  <c r="C3410"/>
  <c r="B3410"/>
  <c r="D3409"/>
  <c r="C3409"/>
  <c r="B3409"/>
  <c r="D3408"/>
  <c r="C3408"/>
  <c r="B3408"/>
  <c r="D3407"/>
  <c r="C3407"/>
  <c r="B3407"/>
  <c r="D3406"/>
  <c r="C3406"/>
  <c r="B3406"/>
  <c r="D3405"/>
  <c r="C3405"/>
  <c r="B3405"/>
  <c r="D3404"/>
  <c r="C3404"/>
  <c r="B3404"/>
  <c r="D3403"/>
  <c r="C3403"/>
  <c r="B3403"/>
  <c r="D3402"/>
  <c r="C3402"/>
  <c r="B3402"/>
  <c r="D3401"/>
  <c r="C3401"/>
  <c r="B3401"/>
  <c r="D3400"/>
  <c r="C3400"/>
  <c r="B3400"/>
  <c r="D3399"/>
  <c r="C3399"/>
  <c r="B3399"/>
  <c r="D3398"/>
  <c r="C3398"/>
  <c r="B3398"/>
  <c r="D3397"/>
  <c r="C3397"/>
  <c r="B3397"/>
  <c r="D3396"/>
  <c r="C3396"/>
  <c r="B3396"/>
  <c r="D3395"/>
  <c r="C3395"/>
  <c r="B3395"/>
  <c r="D3394"/>
  <c r="C3394"/>
  <c r="B3394"/>
  <c r="D3393"/>
  <c r="C3393"/>
  <c r="B3393"/>
  <c r="D3392"/>
  <c r="C3392"/>
  <c r="B3392"/>
  <c r="D3391"/>
  <c r="C3391"/>
  <c r="B3391"/>
  <c r="D3390"/>
  <c r="C3390"/>
  <c r="B3390"/>
  <c r="D3389"/>
  <c r="C3389"/>
  <c r="B3389"/>
  <c r="D3388"/>
  <c r="C3388"/>
  <c r="B3388"/>
  <c r="D3387"/>
  <c r="C3387"/>
  <c r="B3387"/>
  <c r="D3386"/>
  <c r="C3386"/>
  <c r="B3386"/>
  <c r="D3385"/>
  <c r="C3385"/>
  <c r="B3385"/>
  <c r="D3384"/>
  <c r="C3384"/>
  <c r="B3384"/>
  <c r="D3383"/>
  <c r="C3383"/>
  <c r="B3383"/>
  <c r="D3382"/>
  <c r="C3382"/>
  <c r="B3382"/>
  <c r="D3381"/>
  <c r="C3381"/>
  <c r="B3381"/>
  <c r="D3380"/>
  <c r="C3380"/>
  <c r="B3380"/>
  <c r="D3379"/>
  <c r="C3379"/>
  <c r="B3379"/>
  <c r="D3378"/>
  <c r="C3378"/>
  <c r="B3378"/>
  <c r="D3377"/>
  <c r="C3377"/>
  <c r="B3377"/>
  <c r="D3376"/>
  <c r="C3376"/>
  <c r="B3376"/>
  <c r="D3375"/>
  <c r="C3375"/>
  <c r="B3375"/>
  <c r="D3374"/>
  <c r="C3374"/>
  <c r="B3374"/>
  <c r="D3373"/>
  <c r="C3373"/>
  <c r="B3373"/>
  <c r="D3372"/>
  <c r="C3372"/>
  <c r="B3372"/>
  <c r="D3371"/>
  <c r="C3371"/>
  <c r="B3371"/>
  <c r="D3370"/>
  <c r="C3370"/>
  <c r="B3370"/>
  <c r="D3369"/>
  <c r="C3369"/>
  <c r="B3369"/>
  <c r="D3368"/>
  <c r="C3368"/>
  <c r="B3368"/>
  <c r="D3367"/>
  <c r="C3367"/>
  <c r="B3367"/>
  <c r="D3366"/>
  <c r="C3366"/>
  <c r="B3366"/>
  <c r="D3365"/>
  <c r="C3365"/>
  <c r="B3365"/>
  <c r="D3364"/>
  <c r="C3364"/>
  <c r="B3364"/>
  <c r="D3363"/>
  <c r="C3363"/>
  <c r="B3363"/>
  <c r="D3362"/>
  <c r="C3362"/>
  <c r="B3362"/>
  <c r="D3361"/>
  <c r="C3361"/>
  <c r="B3361"/>
  <c r="D3360"/>
  <c r="C3360"/>
  <c r="B3360"/>
  <c r="D3359"/>
  <c r="C3359"/>
  <c r="B3359"/>
  <c r="D3358"/>
  <c r="C3358"/>
  <c r="B3358"/>
  <c r="D3357"/>
  <c r="C3357"/>
  <c r="B3357"/>
  <c r="D3356"/>
  <c r="C3356"/>
  <c r="B3356"/>
  <c r="D3355"/>
  <c r="C3355"/>
  <c r="B3355"/>
  <c r="D3354"/>
  <c r="C3354"/>
  <c r="B3354"/>
  <c r="D3353"/>
  <c r="C3353"/>
  <c r="B3353"/>
  <c r="D3352"/>
  <c r="C3352"/>
  <c r="B3352"/>
  <c r="D3351"/>
  <c r="C3351"/>
  <c r="B3351"/>
  <c r="D3350"/>
  <c r="C3350"/>
  <c r="B3350"/>
  <c r="D3349"/>
  <c r="C3349"/>
  <c r="B3349"/>
  <c r="D3348"/>
  <c r="C3348"/>
  <c r="B3348"/>
  <c r="D3347"/>
  <c r="C3347"/>
  <c r="B3347"/>
  <c r="D3346"/>
  <c r="C3346"/>
  <c r="B3346"/>
  <c r="D3345"/>
  <c r="C3345"/>
  <c r="B3345"/>
  <c r="D3344"/>
  <c r="C3344"/>
  <c r="B3344"/>
  <c r="D3343"/>
  <c r="C3343"/>
  <c r="B3343"/>
  <c r="D3342"/>
  <c r="C3342"/>
  <c r="B3342"/>
  <c r="D3341"/>
  <c r="C3341"/>
  <c r="B3341"/>
  <c r="D3340"/>
  <c r="C3340"/>
  <c r="B3340"/>
  <c r="D3339"/>
  <c r="C3339"/>
  <c r="B3339"/>
  <c r="D3338"/>
  <c r="C3338"/>
  <c r="B3338"/>
  <c r="D3337"/>
  <c r="C3337"/>
  <c r="B3337"/>
  <c r="D3336"/>
  <c r="C3336"/>
  <c r="B3336"/>
  <c r="D3335"/>
  <c r="C3335"/>
  <c r="B3335"/>
  <c r="D3334"/>
  <c r="C3334"/>
  <c r="B3334"/>
  <c r="D3333"/>
  <c r="C3333"/>
  <c r="B3333"/>
  <c r="D3332"/>
  <c r="C3332"/>
  <c r="B3332"/>
  <c r="D3331"/>
  <c r="C3331"/>
  <c r="B3331"/>
  <c r="D3330"/>
  <c r="C3330"/>
  <c r="B3330"/>
  <c r="D3329"/>
  <c r="C3329"/>
  <c r="B3329"/>
  <c r="D3328"/>
  <c r="C3328"/>
  <c r="B3328"/>
  <c r="D3327"/>
  <c r="C3327"/>
  <c r="B3327"/>
  <c r="D3326"/>
  <c r="C3326"/>
  <c r="B3326"/>
  <c r="D3325"/>
  <c r="C3325"/>
  <c r="B3325"/>
  <c r="D3324"/>
  <c r="C3324"/>
  <c r="B3324"/>
  <c r="D3323"/>
  <c r="C3323"/>
  <c r="B3323"/>
  <c r="D3322"/>
  <c r="C3322"/>
  <c r="B3322"/>
  <c r="D3321"/>
  <c r="C3321"/>
  <c r="B3321"/>
  <c r="D3320"/>
  <c r="C3320"/>
  <c r="B3320"/>
  <c r="D3319"/>
  <c r="C3319"/>
  <c r="B3319"/>
  <c r="D3318"/>
  <c r="C3318"/>
  <c r="B3318"/>
  <c r="D3317"/>
  <c r="C3317"/>
  <c r="B3317"/>
  <c r="D3316"/>
  <c r="C3316"/>
  <c r="B3316"/>
  <c r="D3315"/>
  <c r="C3315"/>
  <c r="B3315"/>
  <c r="D3314"/>
  <c r="C3314"/>
  <c r="B3314"/>
  <c r="D3313"/>
  <c r="C3313"/>
  <c r="B3313"/>
  <c r="D3312"/>
  <c r="C3312"/>
  <c r="B3312"/>
  <c r="D3311"/>
  <c r="C3311"/>
  <c r="B3311"/>
  <c r="D3310"/>
  <c r="C3310"/>
  <c r="B3310"/>
  <c r="D3309"/>
  <c r="C3309"/>
  <c r="B3309"/>
  <c r="D3308"/>
  <c r="C3308"/>
  <c r="B3308"/>
  <c r="D3307"/>
  <c r="C3307"/>
  <c r="B3307"/>
  <c r="D3306"/>
  <c r="C3306"/>
  <c r="B3306"/>
  <c r="D3305"/>
  <c r="C3305"/>
  <c r="B3305"/>
  <c r="D3304"/>
  <c r="C3304"/>
  <c r="B3304"/>
  <c r="D3303"/>
  <c r="C3303"/>
  <c r="B3303"/>
  <c r="D3302"/>
  <c r="C3302"/>
  <c r="B3302"/>
  <c r="D3301"/>
  <c r="C3301"/>
  <c r="B3301"/>
  <c r="D3300"/>
  <c r="C3300"/>
  <c r="B3300"/>
  <c r="D3299"/>
  <c r="C3299"/>
  <c r="B3299"/>
  <c r="D3298"/>
  <c r="C3298"/>
  <c r="B3298"/>
  <c r="D3297"/>
  <c r="C3297"/>
  <c r="B3297"/>
  <c r="D3296"/>
  <c r="C3296"/>
  <c r="B3296"/>
  <c r="D3295"/>
  <c r="C3295"/>
  <c r="B3295"/>
  <c r="D3294"/>
  <c r="C3294"/>
  <c r="B3294"/>
  <c r="D3293"/>
  <c r="C3293"/>
  <c r="B3293"/>
  <c r="D3292"/>
  <c r="C3292"/>
  <c r="B3292"/>
  <c r="D3291"/>
  <c r="C3291"/>
  <c r="B3291"/>
  <c r="D3290"/>
  <c r="C3290"/>
  <c r="B3290"/>
  <c r="D3289"/>
  <c r="C3289"/>
  <c r="B3289"/>
  <c r="D3288"/>
  <c r="C3288"/>
  <c r="B3288"/>
  <c r="D3287"/>
  <c r="C3287"/>
  <c r="B3287"/>
  <c r="D3286"/>
  <c r="C3286"/>
  <c r="B3286"/>
  <c r="D3285"/>
  <c r="C3285"/>
  <c r="B3285"/>
  <c r="D3284"/>
  <c r="C3284"/>
  <c r="B3284"/>
  <c r="D3283"/>
  <c r="C3283"/>
  <c r="B3283"/>
  <c r="D3282"/>
  <c r="C3282"/>
  <c r="B3282"/>
  <c r="D3281"/>
  <c r="C3281"/>
  <c r="B3281"/>
  <c r="D3280"/>
  <c r="C3280"/>
  <c r="B3280"/>
  <c r="D3279"/>
  <c r="C3279"/>
  <c r="B3279"/>
  <c r="D3278"/>
  <c r="C3278"/>
  <c r="B3278"/>
  <c r="D3277"/>
  <c r="C3277"/>
  <c r="B3277"/>
  <c r="D3276"/>
  <c r="C3276"/>
  <c r="B3276"/>
  <c r="D3275"/>
  <c r="C3275"/>
  <c r="B3275"/>
  <c r="D3274"/>
  <c r="C3274"/>
  <c r="B3274"/>
  <c r="D3273"/>
  <c r="C3273"/>
  <c r="B3273"/>
  <c r="D3272"/>
  <c r="C3272"/>
  <c r="B3272"/>
  <c r="D3271"/>
  <c r="C3271"/>
  <c r="B3271"/>
  <c r="D3270"/>
  <c r="C3270"/>
  <c r="B3270"/>
  <c r="D3269"/>
  <c r="C3269"/>
  <c r="B3269"/>
  <c r="D3268"/>
  <c r="C3268"/>
  <c r="B3268"/>
  <c r="D3267"/>
  <c r="C3267"/>
  <c r="B3267"/>
  <c r="D3266"/>
  <c r="C3266"/>
  <c r="B3266"/>
  <c r="D3265"/>
  <c r="C3265"/>
  <c r="B3265"/>
  <c r="D3264"/>
  <c r="C3264"/>
  <c r="B3264"/>
  <c r="D3263"/>
  <c r="C3263"/>
  <c r="B3263"/>
  <c r="D3262"/>
  <c r="C3262"/>
  <c r="B3262"/>
  <c r="D3261"/>
  <c r="C3261"/>
  <c r="B3261"/>
  <c r="D3260"/>
  <c r="C3260"/>
  <c r="B3260"/>
  <c r="D3259"/>
  <c r="C3259"/>
  <c r="B3259"/>
  <c r="D3258"/>
  <c r="C3258"/>
  <c r="B3258"/>
  <c r="D3257"/>
  <c r="C3257"/>
  <c r="B3257"/>
  <c r="D3256"/>
  <c r="C3256"/>
  <c r="B3256"/>
  <c r="D3255"/>
  <c r="C3255"/>
  <c r="B3255"/>
  <c r="D3254"/>
  <c r="C3254"/>
  <c r="B3254"/>
  <c r="D3253"/>
  <c r="C3253"/>
  <c r="B3253"/>
  <c r="D3252"/>
  <c r="C3252"/>
  <c r="B3252"/>
  <c r="D3251"/>
  <c r="C3251"/>
  <c r="B3251"/>
  <c r="D3250"/>
  <c r="C3250"/>
  <c r="B3250"/>
  <c r="D3249"/>
  <c r="C3249"/>
  <c r="B3249"/>
  <c r="D3248"/>
  <c r="C3248"/>
  <c r="B3248"/>
  <c r="D3247"/>
  <c r="C3247"/>
  <c r="B3247"/>
  <c r="D3246"/>
  <c r="C3246"/>
  <c r="B3246"/>
  <c r="D3245"/>
  <c r="C3245"/>
  <c r="B3245"/>
  <c r="D3244"/>
  <c r="C3244"/>
  <c r="B3244"/>
  <c r="D3243"/>
  <c r="C3243"/>
  <c r="B3243"/>
  <c r="D3242"/>
  <c r="C3242"/>
  <c r="B3242"/>
  <c r="D3241"/>
  <c r="C3241"/>
  <c r="B3241"/>
  <c r="D3240"/>
  <c r="C3240"/>
  <c r="B3240"/>
  <c r="D3239"/>
  <c r="C3239"/>
  <c r="B3239"/>
  <c r="D3238"/>
  <c r="C3238"/>
  <c r="B3238"/>
  <c r="D3237"/>
  <c r="C3237"/>
  <c r="B3237"/>
  <c r="D3236"/>
  <c r="C3236"/>
  <c r="B3236"/>
  <c r="D3235"/>
  <c r="C3235"/>
  <c r="B3235"/>
  <c r="D3234"/>
  <c r="C3234"/>
  <c r="B3234"/>
  <c r="D3233"/>
  <c r="C3233"/>
  <c r="B3233"/>
  <c r="D3232"/>
  <c r="C3232"/>
  <c r="B3232"/>
  <c r="D3231"/>
  <c r="C3231"/>
  <c r="B3231"/>
  <c r="D3230"/>
  <c r="C3230"/>
  <c r="B3230"/>
  <c r="D3229"/>
  <c r="C3229"/>
  <c r="B3229"/>
  <c r="D3228"/>
  <c r="C3228"/>
  <c r="B3228"/>
  <c r="D3227"/>
  <c r="C3227"/>
  <c r="B3227"/>
  <c r="D3226"/>
  <c r="C3226"/>
  <c r="B3226"/>
  <c r="D3225"/>
  <c r="C3225"/>
  <c r="B3225"/>
  <c r="D3224"/>
  <c r="C3224"/>
  <c r="B3224"/>
  <c r="D3223"/>
  <c r="C3223"/>
  <c r="B3223"/>
  <c r="D3222"/>
  <c r="C3222"/>
  <c r="B3222"/>
  <c r="D3221"/>
  <c r="C3221"/>
  <c r="B3221"/>
  <c r="D3220"/>
  <c r="C3220"/>
  <c r="B3220"/>
  <c r="D3219"/>
  <c r="C3219"/>
  <c r="B3219"/>
  <c r="D3218"/>
  <c r="C3218"/>
  <c r="B3218"/>
  <c r="D3217"/>
  <c r="C3217"/>
  <c r="B3217"/>
  <c r="D3216"/>
  <c r="C3216"/>
  <c r="B3216"/>
  <c r="D3215"/>
  <c r="C3215"/>
  <c r="B3215"/>
  <c r="D3214"/>
  <c r="C3214"/>
  <c r="B3214"/>
  <c r="D3213"/>
  <c r="C3213"/>
  <c r="B3213"/>
  <c r="D3212"/>
  <c r="C3212"/>
  <c r="B3212"/>
  <c r="D3211"/>
  <c r="C3211"/>
  <c r="B3211"/>
  <c r="D3210"/>
  <c r="C3210"/>
  <c r="B3210"/>
  <c r="D3209"/>
  <c r="C3209"/>
  <c r="B3209"/>
  <c r="D3208"/>
  <c r="C3208"/>
  <c r="B3208"/>
  <c r="D3207"/>
  <c r="C3207"/>
  <c r="B3207"/>
  <c r="D3206"/>
  <c r="C3206"/>
  <c r="B3206"/>
  <c r="D3205"/>
  <c r="C3205"/>
  <c r="B3205"/>
  <c r="D3204"/>
  <c r="C3204"/>
  <c r="B3204"/>
  <c r="D3203"/>
  <c r="C3203"/>
  <c r="B3203"/>
  <c r="D3202"/>
  <c r="C3202"/>
  <c r="B3202"/>
  <c r="D3201"/>
  <c r="C3201"/>
  <c r="B3201"/>
  <c r="D3200"/>
  <c r="C3200"/>
  <c r="B3200"/>
  <c r="D3199"/>
  <c r="C3199"/>
  <c r="B3199"/>
  <c r="D3198"/>
  <c r="C3198"/>
  <c r="B3198"/>
  <c r="D3197"/>
  <c r="C3197"/>
  <c r="B3197"/>
  <c r="D3196"/>
  <c r="C3196"/>
  <c r="B3196"/>
  <c r="D3195"/>
  <c r="C3195"/>
  <c r="B3195"/>
  <c r="D3194"/>
  <c r="C3194"/>
  <c r="B3194"/>
  <c r="D3193"/>
  <c r="C3193"/>
  <c r="B3193"/>
  <c r="D3192"/>
  <c r="C3192"/>
  <c r="B3192"/>
  <c r="D3191"/>
  <c r="C3191"/>
  <c r="B3191"/>
  <c r="D3190"/>
  <c r="C3190"/>
  <c r="B3190"/>
  <c r="D3189"/>
  <c r="C3189"/>
  <c r="B3189"/>
  <c r="D3188"/>
  <c r="C3188"/>
  <c r="B3188"/>
  <c r="D3187"/>
  <c r="C3187"/>
  <c r="B3187"/>
  <c r="D3186"/>
  <c r="C3186"/>
  <c r="B3186"/>
  <c r="D3185"/>
  <c r="C3185"/>
  <c r="B3185"/>
  <c r="D3184"/>
  <c r="C3184"/>
  <c r="B3184"/>
  <c r="D3183"/>
  <c r="C3183"/>
  <c r="B3183"/>
  <c r="D3182"/>
  <c r="C3182"/>
  <c r="B3182"/>
  <c r="D3181"/>
  <c r="C3181"/>
  <c r="B3181"/>
  <c r="D3180"/>
  <c r="C3180"/>
  <c r="B3180"/>
  <c r="D3179"/>
  <c r="C3179"/>
  <c r="B3179"/>
  <c r="D3178"/>
  <c r="C3178"/>
  <c r="B3178"/>
  <c r="D3177"/>
  <c r="C3177"/>
  <c r="B3177"/>
  <c r="D3176"/>
  <c r="C3176"/>
  <c r="B3176"/>
  <c r="D3175"/>
  <c r="C3175"/>
  <c r="B3175"/>
  <c r="D3174"/>
  <c r="C3174"/>
  <c r="B3174"/>
  <c r="D3173"/>
  <c r="C3173"/>
  <c r="B3173"/>
  <c r="D3172"/>
  <c r="C3172"/>
  <c r="B3172"/>
  <c r="D3171"/>
  <c r="C3171"/>
  <c r="B3171"/>
  <c r="D3170"/>
  <c r="C3170"/>
  <c r="B3170"/>
  <c r="D3169"/>
  <c r="C3169"/>
  <c r="B3169"/>
  <c r="D3168"/>
  <c r="C3168"/>
  <c r="B3168"/>
  <c r="D3167"/>
  <c r="C3167"/>
  <c r="B3167"/>
  <c r="D3166"/>
  <c r="C3166"/>
  <c r="B3166"/>
  <c r="D3165"/>
  <c r="C3165"/>
  <c r="B3165"/>
  <c r="D3164"/>
  <c r="C3164"/>
  <c r="B3164"/>
  <c r="D3163"/>
  <c r="C3163"/>
  <c r="B3163"/>
  <c r="D3162"/>
  <c r="C3162"/>
  <c r="B3162"/>
  <c r="D3161"/>
  <c r="C3161"/>
  <c r="B3161"/>
  <c r="D3160"/>
  <c r="C3160"/>
  <c r="B3160"/>
  <c r="D3159"/>
  <c r="C3159"/>
  <c r="B3159"/>
  <c r="D3158"/>
  <c r="C3158"/>
  <c r="B3158"/>
  <c r="D3157"/>
  <c r="C3157"/>
  <c r="B3157"/>
  <c r="D3156"/>
  <c r="C3156"/>
  <c r="B3156"/>
  <c r="D3155"/>
  <c r="C3155"/>
  <c r="B3155"/>
  <c r="D3154"/>
  <c r="C3154"/>
  <c r="B3154"/>
  <c r="D3153"/>
  <c r="C3153"/>
  <c r="B3153"/>
  <c r="D3152"/>
  <c r="C3152"/>
  <c r="B3152"/>
  <c r="D3151"/>
  <c r="C3151"/>
  <c r="B3151"/>
  <c r="D3150"/>
  <c r="C3150"/>
  <c r="B3150"/>
  <c r="D3149"/>
  <c r="C3149"/>
  <c r="B3149"/>
  <c r="D3148"/>
  <c r="C3148"/>
  <c r="B3148"/>
  <c r="D3147"/>
  <c r="C3147"/>
  <c r="B3147"/>
  <c r="D3146"/>
  <c r="C3146"/>
  <c r="B3146"/>
  <c r="D3145"/>
  <c r="C3145"/>
  <c r="B3145"/>
  <c r="D3144"/>
  <c r="C3144"/>
  <c r="B3144"/>
  <c r="D3143"/>
  <c r="C3143"/>
  <c r="B3143"/>
  <c r="D3142"/>
  <c r="C3142"/>
  <c r="B3142"/>
  <c r="D3141"/>
  <c r="C3141"/>
  <c r="B3141"/>
  <c r="D3140"/>
  <c r="C3140"/>
  <c r="B3140"/>
  <c r="D3139"/>
  <c r="C3139"/>
  <c r="B3139"/>
  <c r="D3138"/>
  <c r="C3138"/>
  <c r="B3138"/>
  <c r="D3137"/>
  <c r="C3137"/>
  <c r="B3137"/>
  <c r="D3136"/>
  <c r="C3136"/>
  <c r="B3136"/>
  <c r="D3135"/>
  <c r="C3135"/>
  <c r="B3135"/>
  <c r="D3134"/>
  <c r="C3134"/>
  <c r="B3134"/>
  <c r="D3133"/>
  <c r="C3133"/>
  <c r="B3133"/>
  <c r="D3132"/>
  <c r="C3132"/>
  <c r="B3132"/>
  <c r="D3131"/>
  <c r="C3131"/>
  <c r="B3131"/>
  <c r="D3130"/>
  <c r="C3130"/>
  <c r="B3130"/>
  <c r="D3129"/>
  <c r="C3129"/>
  <c r="B3129"/>
  <c r="D3128"/>
  <c r="C3128"/>
  <c r="B3128"/>
  <c r="D3127"/>
  <c r="C3127"/>
  <c r="B3127"/>
  <c r="D3126"/>
  <c r="C3126"/>
  <c r="B3126"/>
  <c r="D3125"/>
  <c r="C3125"/>
  <c r="B3125"/>
  <c r="D3124"/>
  <c r="C3124"/>
  <c r="B3124"/>
  <c r="D3123"/>
  <c r="C3123"/>
  <c r="B3123"/>
  <c r="D3122"/>
  <c r="C3122"/>
  <c r="B3122"/>
  <c r="D3121"/>
  <c r="C3121"/>
  <c r="B3121"/>
  <c r="D3120"/>
  <c r="C3120"/>
  <c r="B3120"/>
  <c r="D3119"/>
  <c r="C3119"/>
  <c r="B3119"/>
  <c r="D3118"/>
  <c r="C3118"/>
  <c r="B3118"/>
  <c r="D3117"/>
  <c r="C3117"/>
  <c r="B3117"/>
  <c r="D3116"/>
  <c r="C3116"/>
  <c r="B3116"/>
  <c r="D3115"/>
  <c r="C3115"/>
  <c r="B3115"/>
  <c r="D3114"/>
  <c r="C3114"/>
  <c r="B3114"/>
  <c r="D3113"/>
  <c r="C3113"/>
  <c r="B3113"/>
  <c r="D3112"/>
  <c r="C3112"/>
  <c r="B3112"/>
  <c r="D3111"/>
  <c r="C3111"/>
  <c r="B3111"/>
  <c r="D3110"/>
  <c r="C3110"/>
  <c r="B3110"/>
  <c r="D3109"/>
  <c r="C3109"/>
  <c r="B3109"/>
  <c r="D3108"/>
  <c r="C3108"/>
  <c r="B3108"/>
  <c r="D3107"/>
  <c r="C3107"/>
  <c r="B3107"/>
  <c r="D3106"/>
  <c r="C3106"/>
  <c r="B3106"/>
  <c r="D3105"/>
  <c r="C3105"/>
  <c r="B3105"/>
  <c r="D3104"/>
  <c r="C3104"/>
  <c r="B3104"/>
  <c r="D3103"/>
  <c r="C3103"/>
  <c r="B3103"/>
  <c r="D3102"/>
  <c r="C3102"/>
  <c r="B3102"/>
  <c r="D3101"/>
  <c r="C3101"/>
  <c r="B3101"/>
  <c r="D3100"/>
  <c r="C3100"/>
  <c r="B3100"/>
  <c r="D3099"/>
  <c r="C3099"/>
  <c r="B3099"/>
  <c r="D3098"/>
  <c r="C3098"/>
  <c r="B3098"/>
  <c r="D3097"/>
  <c r="C3097"/>
  <c r="B3097"/>
  <c r="D3096"/>
  <c r="C3096"/>
  <c r="B3096"/>
  <c r="D3095"/>
  <c r="C3095"/>
  <c r="B3095"/>
  <c r="D3094"/>
  <c r="C3094"/>
  <c r="B3094"/>
  <c r="D3093"/>
  <c r="C3093"/>
  <c r="B3093"/>
  <c r="D3092"/>
  <c r="C3092"/>
  <c r="B3092"/>
  <c r="D3091"/>
  <c r="C3091"/>
  <c r="B3091"/>
  <c r="D3090"/>
  <c r="C3090"/>
  <c r="B3090"/>
  <c r="D3089"/>
  <c r="C3089"/>
  <c r="B3089"/>
  <c r="D3088"/>
  <c r="C3088"/>
  <c r="B3088"/>
  <c r="D3087"/>
  <c r="C3087"/>
  <c r="B3087"/>
  <c r="D3086"/>
  <c r="C3086"/>
  <c r="B3086"/>
  <c r="D3085"/>
  <c r="C3085"/>
  <c r="B3085"/>
  <c r="D3084"/>
  <c r="C3084"/>
  <c r="B3084"/>
  <c r="D3083"/>
  <c r="C3083"/>
  <c r="B3083"/>
  <c r="D3082"/>
  <c r="C3082"/>
  <c r="B3082"/>
  <c r="D3081"/>
  <c r="C3081"/>
  <c r="B3081"/>
  <c r="D3080"/>
  <c r="C3080"/>
  <c r="B3080"/>
  <c r="D3079"/>
  <c r="C3079"/>
  <c r="B3079"/>
  <c r="D3078"/>
  <c r="C3078"/>
  <c r="B3078"/>
  <c r="D3077"/>
  <c r="C3077"/>
  <c r="B3077"/>
  <c r="D3076"/>
  <c r="C3076"/>
  <c r="B3076"/>
  <c r="D3075"/>
  <c r="C3075"/>
  <c r="B3075"/>
  <c r="D3074"/>
  <c r="C3074"/>
  <c r="B3074"/>
  <c r="D3073"/>
  <c r="C3073"/>
  <c r="B3073"/>
  <c r="D3072"/>
  <c r="C3072"/>
  <c r="B3072"/>
  <c r="D3071"/>
  <c r="C3071"/>
  <c r="B3071"/>
  <c r="D3070"/>
  <c r="C3070"/>
  <c r="B3070"/>
  <c r="D3069"/>
  <c r="C3069"/>
  <c r="B3069"/>
  <c r="D3068"/>
  <c r="C3068"/>
  <c r="B3068"/>
  <c r="D3067"/>
  <c r="C3067"/>
  <c r="B3067"/>
  <c r="D3066"/>
  <c r="C3066"/>
  <c r="B3066"/>
  <c r="D3065"/>
  <c r="C3065"/>
  <c r="B3065"/>
  <c r="D3064"/>
  <c r="C3064"/>
  <c r="B3064"/>
  <c r="D3063"/>
  <c r="C3063"/>
  <c r="B3063"/>
  <c r="D3062"/>
  <c r="C3062"/>
  <c r="B3062"/>
  <c r="D3061"/>
  <c r="C3061"/>
  <c r="B3061"/>
  <c r="D3060"/>
  <c r="C3060"/>
  <c r="B3060"/>
  <c r="D3059"/>
  <c r="C3059"/>
  <c r="B3059"/>
  <c r="D3058"/>
  <c r="C3058"/>
  <c r="B3058"/>
  <c r="D3057"/>
  <c r="C3057"/>
  <c r="B3057"/>
  <c r="D3056"/>
  <c r="C3056"/>
  <c r="B3056"/>
  <c r="D3055"/>
  <c r="C3055"/>
  <c r="B3055"/>
  <c r="D3054"/>
  <c r="C3054"/>
  <c r="B3054"/>
  <c r="D3053"/>
  <c r="C3053"/>
  <c r="B3053"/>
  <c r="D3052"/>
  <c r="C3052"/>
  <c r="B3052"/>
  <c r="D3051"/>
  <c r="C3051"/>
  <c r="B3051"/>
  <c r="D3050"/>
  <c r="C3050"/>
  <c r="B3050"/>
  <c r="D3049"/>
  <c r="C3049"/>
  <c r="B3049"/>
  <c r="D3048"/>
  <c r="C3048"/>
  <c r="B3048"/>
  <c r="D3047"/>
  <c r="C3047"/>
  <c r="B3047"/>
  <c r="D3046"/>
  <c r="C3046"/>
  <c r="B3046"/>
  <c r="D3045"/>
  <c r="C3045"/>
  <c r="B3045"/>
  <c r="D3044"/>
  <c r="C3044"/>
  <c r="B3044"/>
  <c r="D3043"/>
  <c r="C3043"/>
  <c r="B3043"/>
  <c r="D3042"/>
  <c r="C3042"/>
  <c r="B3042"/>
  <c r="D3041"/>
  <c r="C3041"/>
  <c r="B3041"/>
  <c r="D3040"/>
  <c r="C3040"/>
  <c r="B3040"/>
  <c r="D3039"/>
  <c r="C3039"/>
  <c r="B3039"/>
  <c r="D3038"/>
  <c r="C3038"/>
  <c r="B3038"/>
  <c r="D3037"/>
  <c r="C3037"/>
  <c r="B3037"/>
  <c r="D3036"/>
  <c r="C3036"/>
  <c r="B3036"/>
  <c r="D3035"/>
  <c r="C3035"/>
  <c r="B3035"/>
  <c r="D3034"/>
  <c r="C3034"/>
  <c r="B3034"/>
  <c r="D3033"/>
  <c r="C3033"/>
  <c r="B3033"/>
  <c r="D3032"/>
  <c r="C3032"/>
  <c r="B3032"/>
  <c r="D3031"/>
  <c r="C3031"/>
  <c r="B3031"/>
  <c r="D3030"/>
  <c r="C3030"/>
  <c r="B3030"/>
  <c r="D3029"/>
  <c r="C3029"/>
  <c r="B3029"/>
  <c r="D3028"/>
  <c r="C3028"/>
  <c r="B3028"/>
  <c r="D3027"/>
  <c r="C3027"/>
  <c r="B3027"/>
  <c r="D3026"/>
  <c r="C3026"/>
  <c r="B3026"/>
  <c r="D3025"/>
  <c r="C3025"/>
  <c r="B3025"/>
  <c r="D3024"/>
  <c r="C3024"/>
  <c r="B3024"/>
  <c r="D3023"/>
  <c r="C3023"/>
  <c r="B3023"/>
  <c r="D3022"/>
  <c r="C3022"/>
  <c r="B3022"/>
  <c r="D3021"/>
  <c r="C3021"/>
  <c r="B3021"/>
  <c r="D3020"/>
  <c r="C3020"/>
  <c r="B3020"/>
  <c r="D3019"/>
  <c r="C3019"/>
  <c r="B3019"/>
  <c r="D3018"/>
  <c r="C3018"/>
  <c r="B3018"/>
  <c r="D3017"/>
  <c r="C3017"/>
  <c r="B3017"/>
  <c r="D3016"/>
  <c r="C3016"/>
  <c r="B3016"/>
  <c r="D3015"/>
  <c r="C3015"/>
  <c r="B3015"/>
  <c r="D3014"/>
  <c r="C3014"/>
  <c r="B3014"/>
  <c r="D3013"/>
  <c r="C3013"/>
  <c r="B3013"/>
  <c r="D3012"/>
  <c r="C3012"/>
  <c r="B3012"/>
  <c r="D3011"/>
  <c r="C3011"/>
  <c r="B3011"/>
  <c r="D3010"/>
  <c r="C3010"/>
  <c r="B3010"/>
  <c r="D3009"/>
  <c r="C3009"/>
  <c r="B3009"/>
  <c r="D3008"/>
  <c r="C3008"/>
  <c r="B3008"/>
  <c r="D3007"/>
  <c r="C3007"/>
  <c r="B3007"/>
  <c r="D3006"/>
  <c r="C3006"/>
  <c r="B3006"/>
  <c r="D3005"/>
  <c r="C3005"/>
  <c r="B3005"/>
  <c r="D3004"/>
  <c r="C3004"/>
  <c r="B3004"/>
  <c r="D3003"/>
  <c r="C3003"/>
  <c r="B3003"/>
  <c r="D3002"/>
  <c r="C3002"/>
  <c r="B3002"/>
  <c r="D3001"/>
  <c r="C3001"/>
  <c r="B3001"/>
  <c r="D3000"/>
  <c r="C3000"/>
  <c r="B3000"/>
  <c r="D2999"/>
  <c r="C2999"/>
  <c r="B2999"/>
  <c r="D2998"/>
  <c r="C2998"/>
  <c r="B2998"/>
  <c r="D2997"/>
  <c r="C2997"/>
  <c r="B2997"/>
  <c r="D2996"/>
  <c r="C2996"/>
  <c r="B2996"/>
  <c r="D2995"/>
  <c r="C2995"/>
  <c r="B2995"/>
  <c r="D2994"/>
  <c r="C2994"/>
  <c r="B2994"/>
  <c r="D2993"/>
  <c r="C2993"/>
  <c r="B2993"/>
  <c r="D2992"/>
  <c r="C2992"/>
  <c r="B2992"/>
  <c r="D2991"/>
  <c r="C2991"/>
  <c r="B2991"/>
  <c r="D2990"/>
  <c r="C2990"/>
  <c r="B2990"/>
  <c r="D2989"/>
  <c r="C2989"/>
  <c r="B2989"/>
  <c r="D2988"/>
  <c r="C2988"/>
  <c r="B2988"/>
  <c r="D2987"/>
  <c r="C2987"/>
  <c r="B2987"/>
  <c r="D2986"/>
  <c r="C2986"/>
  <c r="B2986"/>
  <c r="D2985"/>
  <c r="C2985"/>
  <c r="B2985"/>
  <c r="D2984"/>
  <c r="C2984"/>
  <c r="B2984"/>
  <c r="D2983"/>
  <c r="C2983"/>
  <c r="B2983"/>
  <c r="D2982"/>
  <c r="C2982"/>
  <c r="B2982"/>
  <c r="D2981"/>
  <c r="C2981"/>
  <c r="B2981"/>
  <c r="D2980"/>
  <c r="C2980"/>
  <c r="B2980"/>
  <c r="D2979"/>
  <c r="C2979"/>
  <c r="B2979"/>
  <c r="D2978"/>
  <c r="C2978"/>
  <c r="B2978"/>
  <c r="D2977"/>
  <c r="C2977"/>
  <c r="B2977"/>
  <c r="D2976"/>
  <c r="C2976"/>
  <c r="B2976"/>
  <c r="D2975"/>
  <c r="C2975"/>
  <c r="B2975"/>
  <c r="D2974"/>
  <c r="C2974"/>
  <c r="B2974"/>
  <c r="D2973"/>
  <c r="C2973"/>
  <c r="B2973"/>
  <c r="D2972"/>
  <c r="C2972"/>
  <c r="B2972"/>
  <c r="D2971"/>
  <c r="C2971"/>
  <c r="B2971"/>
  <c r="D2970"/>
  <c r="C2970"/>
  <c r="B2970"/>
  <c r="D2969"/>
  <c r="C2969"/>
  <c r="B2969"/>
  <c r="D2968"/>
  <c r="C2968"/>
  <c r="B2968"/>
  <c r="D2967"/>
  <c r="C2967"/>
  <c r="B2967"/>
  <c r="D2966"/>
  <c r="C2966"/>
  <c r="B2966"/>
  <c r="D2965"/>
  <c r="C2965"/>
  <c r="B2965"/>
  <c r="D2964"/>
  <c r="C2964"/>
  <c r="B2964"/>
  <c r="D2963"/>
  <c r="C2963"/>
  <c r="B2963"/>
  <c r="D2962"/>
  <c r="C2962"/>
  <c r="B2962"/>
  <c r="D2961"/>
  <c r="C2961"/>
  <c r="B2961"/>
  <c r="D2960"/>
  <c r="C2960"/>
  <c r="B2960"/>
  <c r="D2959"/>
  <c r="C2959"/>
  <c r="B2959"/>
  <c r="D2958"/>
  <c r="C2958"/>
  <c r="B2958"/>
  <c r="D2957"/>
  <c r="C2957"/>
  <c r="B2957"/>
  <c r="D2956"/>
  <c r="C2956"/>
  <c r="B2956"/>
  <c r="D2955"/>
  <c r="C2955"/>
  <c r="B2955"/>
  <c r="D2954"/>
  <c r="C2954"/>
  <c r="B2954"/>
  <c r="D2953"/>
  <c r="C2953"/>
  <c r="B2953"/>
  <c r="D2952"/>
  <c r="C2952"/>
  <c r="B2952"/>
  <c r="D2951"/>
  <c r="C2951"/>
  <c r="B2951"/>
  <c r="D2950"/>
  <c r="C2950"/>
  <c r="B2950"/>
  <c r="D2949"/>
  <c r="C2949"/>
  <c r="B2949"/>
  <c r="D2948"/>
  <c r="C2948"/>
  <c r="B2948"/>
  <c r="D2947"/>
  <c r="C2947"/>
  <c r="B2947"/>
  <c r="D2946"/>
  <c r="C2946"/>
  <c r="B2946"/>
  <c r="D2945"/>
  <c r="C2945"/>
  <c r="B2945"/>
  <c r="D2944"/>
  <c r="C2944"/>
  <c r="B2944"/>
  <c r="D2943"/>
  <c r="C2943"/>
  <c r="B2943"/>
  <c r="D2942"/>
  <c r="C2942"/>
  <c r="B2942"/>
  <c r="D2941"/>
  <c r="C2941"/>
  <c r="B2941"/>
  <c r="D2940"/>
  <c r="C2940"/>
  <c r="B2940"/>
  <c r="D2939"/>
  <c r="C2939"/>
  <c r="B2939"/>
  <c r="D2938"/>
  <c r="C2938"/>
  <c r="B2938"/>
  <c r="D2937"/>
  <c r="C2937"/>
  <c r="B2937"/>
  <c r="D2936"/>
  <c r="C2936"/>
  <c r="B2936"/>
  <c r="D2935"/>
  <c r="C2935"/>
  <c r="B2935"/>
  <c r="D2934"/>
  <c r="C2934"/>
  <c r="B2934"/>
  <c r="D2933"/>
  <c r="C2933"/>
  <c r="B2933"/>
  <c r="D2932"/>
  <c r="C2932"/>
  <c r="B2932"/>
  <c r="D2931"/>
  <c r="C2931"/>
  <c r="B2931"/>
  <c r="D2930"/>
  <c r="C2930"/>
  <c r="B2930"/>
  <c r="D2929"/>
  <c r="C2929"/>
  <c r="B2929"/>
  <c r="D2928"/>
  <c r="C2928"/>
  <c r="B2928"/>
  <c r="D2927"/>
  <c r="C2927"/>
  <c r="B2927"/>
  <c r="D2926"/>
  <c r="C2926"/>
  <c r="B2926"/>
  <c r="D2925"/>
  <c r="C2925"/>
  <c r="B2925"/>
  <c r="D2924"/>
  <c r="C2924"/>
  <c r="B2924"/>
  <c r="D2923"/>
  <c r="C2923"/>
  <c r="B2923"/>
  <c r="D2922"/>
  <c r="C2922"/>
  <c r="B2922"/>
  <c r="D2921"/>
  <c r="C2921"/>
  <c r="B2921"/>
  <c r="D2920"/>
  <c r="C2920"/>
  <c r="B2920"/>
  <c r="D2919"/>
  <c r="C2919"/>
  <c r="B2919"/>
  <c r="D2918"/>
  <c r="C2918"/>
  <c r="B2918"/>
  <c r="D2917"/>
  <c r="C2917"/>
  <c r="B2917"/>
  <c r="D2916"/>
  <c r="C2916"/>
  <c r="B2916"/>
  <c r="D2915"/>
  <c r="C2915"/>
  <c r="B2915"/>
  <c r="D2914"/>
  <c r="C2914"/>
  <c r="B2914"/>
  <c r="D2913"/>
  <c r="C2913"/>
  <c r="B2913"/>
  <c r="D2912"/>
  <c r="C2912"/>
  <c r="B2912"/>
  <c r="D2911"/>
  <c r="C2911"/>
  <c r="B2911"/>
  <c r="D2910"/>
  <c r="C2910"/>
  <c r="B2910"/>
  <c r="D2909"/>
  <c r="C2909"/>
  <c r="B2909"/>
  <c r="D2908"/>
  <c r="C2908"/>
  <c r="B2908"/>
  <c r="D2907"/>
  <c r="C2907"/>
  <c r="B2907"/>
  <c r="D2906"/>
  <c r="C2906"/>
  <c r="B2906"/>
  <c r="D2905"/>
  <c r="C2905"/>
  <c r="B2905"/>
  <c r="D2904"/>
  <c r="C2904"/>
  <c r="B2904"/>
  <c r="D2903"/>
  <c r="C2903"/>
  <c r="B2903"/>
  <c r="D2902"/>
  <c r="C2902"/>
  <c r="B2902"/>
  <c r="D2901"/>
  <c r="C2901"/>
  <c r="B2901"/>
  <c r="D2900"/>
  <c r="C2900"/>
  <c r="B2900"/>
  <c r="D2899"/>
  <c r="C2899"/>
  <c r="B2899"/>
  <c r="D2898"/>
  <c r="C2898"/>
  <c r="B2898"/>
  <c r="D2897"/>
  <c r="C2897"/>
  <c r="B2897"/>
  <c r="D2896"/>
  <c r="C2896"/>
  <c r="B2896"/>
  <c r="D2895"/>
  <c r="C2895"/>
  <c r="B2895"/>
  <c r="D2894"/>
  <c r="C2894"/>
  <c r="B2894"/>
  <c r="D2893"/>
  <c r="C2893"/>
  <c r="B2893"/>
  <c r="D2892"/>
  <c r="C2892"/>
  <c r="B2892"/>
  <c r="D2891"/>
  <c r="C2891"/>
  <c r="B2891"/>
  <c r="D2890"/>
  <c r="C2890"/>
  <c r="B2890"/>
  <c r="D2889"/>
  <c r="C2889"/>
  <c r="B2889"/>
  <c r="D2888"/>
  <c r="C2888"/>
  <c r="B2888"/>
  <c r="D2887"/>
  <c r="C2887"/>
  <c r="B2887"/>
  <c r="D2886"/>
  <c r="C2886"/>
  <c r="B2886"/>
  <c r="D2885"/>
  <c r="C2885"/>
  <c r="B2885"/>
  <c r="D2884"/>
  <c r="C2884"/>
  <c r="B2884"/>
  <c r="D2883"/>
  <c r="C2883"/>
  <c r="B2883"/>
  <c r="D2882"/>
  <c r="C2882"/>
  <c r="B2882"/>
  <c r="D2881"/>
  <c r="C2881"/>
  <c r="B2881"/>
  <c r="D2880"/>
  <c r="C2880"/>
  <c r="B2880"/>
  <c r="D2879"/>
  <c r="C2879"/>
  <c r="B2879"/>
  <c r="D2878"/>
  <c r="C2878"/>
  <c r="B2878"/>
  <c r="D2877"/>
  <c r="C2877"/>
  <c r="B2877"/>
  <c r="D2876"/>
  <c r="C2876"/>
  <c r="B2876"/>
  <c r="D2875"/>
  <c r="C2875"/>
  <c r="B2875"/>
  <c r="D2874"/>
  <c r="C2874"/>
  <c r="B2874"/>
  <c r="D2873"/>
  <c r="C2873"/>
  <c r="B2873"/>
  <c r="D2872"/>
  <c r="C2872"/>
  <c r="B2872"/>
  <c r="D2871"/>
  <c r="C2871"/>
  <c r="B2871"/>
  <c r="D2870"/>
  <c r="C2870"/>
  <c r="B2870"/>
  <c r="D2869"/>
  <c r="C2869"/>
  <c r="B2869"/>
  <c r="D2868"/>
  <c r="C2868"/>
  <c r="B2868"/>
  <c r="D2867"/>
  <c r="C2867"/>
  <c r="B2867"/>
  <c r="D2866"/>
  <c r="C2866"/>
  <c r="B2866"/>
  <c r="D2865"/>
  <c r="C2865"/>
  <c r="B2865"/>
  <c r="D2864"/>
  <c r="C2864"/>
  <c r="B2864"/>
  <c r="D2863"/>
  <c r="C2863"/>
  <c r="B2863"/>
  <c r="D2862"/>
  <c r="C2862"/>
  <c r="B2862"/>
  <c r="D2861"/>
  <c r="C2861"/>
  <c r="B2861"/>
  <c r="D2860"/>
  <c r="C2860"/>
  <c r="B2860"/>
  <c r="D2859"/>
  <c r="C2859"/>
  <c r="B2859"/>
  <c r="D2858"/>
  <c r="C2858"/>
  <c r="B2858"/>
  <c r="D2857"/>
  <c r="C2857"/>
  <c r="B2857"/>
  <c r="D2856"/>
  <c r="C2856"/>
  <c r="B2856"/>
  <c r="D2855"/>
  <c r="C2855"/>
  <c r="B2855"/>
  <c r="D2854"/>
  <c r="C2854"/>
  <c r="B2854"/>
  <c r="D2853"/>
  <c r="C2853"/>
  <c r="B2853"/>
  <c r="D2852"/>
  <c r="C2852"/>
  <c r="B2852"/>
  <c r="D2851"/>
  <c r="C2851"/>
  <c r="B2851"/>
  <c r="D2850"/>
  <c r="C2850"/>
  <c r="B2850"/>
  <c r="D2849"/>
  <c r="C2849"/>
  <c r="B2849"/>
  <c r="D2848"/>
  <c r="C2848"/>
  <c r="B2848"/>
  <c r="D2847"/>
  <c r="C2847"/>
  <c r="B2847"/>
  <c r="D2846"/>
  <c r="C2846"/>
  <c r="B2846"/>
  <c r="D2845"/>
  <c r="C2845"/>
  <c r="B2845"/>
  <c r="D2844"/>
  <c r="C2844"/>
  <c r="B2844"/>
  <c r="D2843"/>
  <c r="C2843"/>
  <c r="B2843"/>
  <c r="D2842"/>
  <c r="C2842"/>
  <c r="B2842"/>
  <c r="D2841"/>
  <c r="C2841"/>
  <c r="B2841"/>
  <c r="D2840"/>
  <c r="C2840"/>
  <c r="B2840"/>
  <c r="D2839"/>
  <c r="C2839"/>
  <c r="B2839"/>
  <c r="D2838"/>
  <c r="C2838"/>
  <c r="B2838"/>
  <c r="D2837"/>
  <c r="C2837"/>
  <c r="B2837"/>
  <c r="D2836"/>
  <c r="C2836"/>
  <c r="B2836"/>
  <c r="D2835"/>
  <c r="C2835"/>
  <c r="B2835"/>
  <c r="D2834"/>
  <c r="C2834"/>
  <c r="B2834"/>
  <c r="D2833"/>
  <c r="C2833"/>
  <c r="B2833"/>
  <c r="D2832"/>
  <c r="C2832"/>
  <c r="B2832"/>
  <c r="D2831"/>
  <c r="C2831"/>
  <c r="B2831"/>
  <c r="D2830"/>
  <c r="C2830"/>
  <c r="B2830"/>
  <c r="D2829"/>
  <c r="C2829"/>
  <c r="B2829"/>
  <c r="D2828"/>
  <c r="C2828"/>
  <c r="B2828"/>
  <c r="D2827"/>
  <c r="C2827"/>
  <c r="B2827"/>
  <c r="D2826"/>
  <c r="C2826"/>
  <c r="B2826"/>
  <c r="D2825"/>
  <c r="C2825"/>
  <c r="B2825"/>
  <c r="D2824"/>
  <c r="C2824"/>
  <c r="B2824"/>
  <c r="D2823"/>
  <c r="C2823"/>
  <c r="B2823"/>
  <c r="D2822"/>
  <c r="C2822"/>
  <c r="B2822"/>
  <c r="D2821"/>
  <c r="C2821"/>
  <c r="B2821"/>
  <c r="D2820"/>
  <c r="C2820"/>
  <c r="B2820"/>
  <c r="D2819"/>
  <c r="C2819"/>
  <c r="B2819"/>
  <c r="D2818"/>
  <c r="C2818"/>
  <c r="B2818"/>
  <c r="D2817"/>
  <c r="C2817"/>
  <c r="B2817"/>
  <c r="D2816"/>
  <c r="C2816"/>
  <c r="B2816"/>
  <c r="D2815"/>
  <c r="C2815"/>
  <c r="B2815"/>
  <c r="D2814"/>
  <c r="C2814"/>
  <c r="B2814"/>
  <c r="D2813"/>
  <c r="C2813"/>
  <c r="B2813"/>
  <c r="D2812"/>
  <c r="C2812"/>
  <c r="B2812"/>
  <c r="D2811"/>
  <c r="C2811"/>
  <c r="B2811"/>
  <c r="D2810"/>
  <c r="C2810"/>
  <c r="B2810"/>
  <c r="D2809"/>
  <c r="C2809"/>
  <c r="B2809"/>
  <c r="D2808"/>
  <c r="C2808"/>
  <c r="B2808"/>
  <c r="D2807"/>
  <c r="C2807"/>
  <c r="B2807"/>
  <c r="D2806"/>
  <c r="C2806"/>
  <c r="B2806"/>
  <c r="D2805"/>
  <c r="C2805"/>
  <c r="B2805"/>
  <c r="D2804"/>
  <c r="C2804"/>
  <c r="B2804"/>
  <c r="D2803"/>
  <c r="C2803"/>
  <c r="B2803"/>
  <c r="D2802"/>
  <c r="C2802"/>
  <c r="B2802"/>
  <c r="D2801"/>
  <c r="C2801"/>
  <c r="B2801"/>
  <c r="D2800"/>
  <c r="C2800"/>
  <c r="B2800"/>
  <c r="D2799"/>
  <c r="C2799"/>
  <c r="B2799"/>
  <c r="D2798"/>
  <c r="C2798"/>
  <c r="B2798"/>
  <c r="D2797"/>
  <c r="C2797"/>
  <c r="B2797"/>
  <c r="D2796"/>
  <c r="C2796"/>
  <c r="B2796"/>
  <c r="D2795"/>
  <c r="C2795"/>
  <c r="B2795"/>
  <c r="D2794"/>
  <c r="C2794"/>
  <c r="B2794"/>
  <c r="D2793"/>
  <c r="C2793"/>
  <c r="B2793"/>
  <c r="D2792"/>
  <c r="C2792"/>
  <c r="B2792"/>
  <c r="D2791"/>
  <c r="C2791"/>
  <c r="B2791"/>
  <c r="D2790"/>
  <c r="C2790"/>
  <c r="B2790"/>
  <c r="D2789"/>
  <c r="C2789"/>
  <c r="B2789"/>
  <c r="D2788"/>
  <c r="C2788"/>
  <c r="B2788"/>
  <c r="D2787"/>
  <c r="C2787"/>
  <c r="B2787"/>
  <c r="D2786"/>
  <c r="C2786"/>
  <c r="B2786"/>
  <c r="D2785"/>
  <c r="C2785"/>
  <c r="B2785"/>
  <c r="D2784"/>
  <c r="C2784"/>
  <c r="B2784"/>
  <c r="D2783"/>
  <c r="C2783"/>
  <c r="B2783"/>
  <c r="D2782"/>
  <c r="C2782"/>
  <c r="B2782"/>
  <c r="D2781"/>
  <c r="C2781"/>
  <c r="B2781"/>
  <c r="D2780"/>
  <c r="C2780"/>
  <c r="B2780"/>
  <c r="D2779"/>
  <c r="C2779"/>
  <c r="B2779"/>
  <c r="D2778"/>
  <c r="C2778"/>
  <c r="B2778"/>
  <c r="D2777"/>
  <c r="C2777"/>
  <c r="B2777"/>
  <c r="D2776"/>
  <c r="C2776"/>
  <c r="B2776"/>
  <c r="D2775"/>
  <c r="C2775"/>
  <c r="B2775"/>
  <c r="D2774"/>
  <c r="C2774"/>
  <c r="B2774"/>
  <c r="D2773"/>
  <c r="C2773"/>
  <c r="B2773"/>
  <c r="D2772"/>
  <c r="C2772"/>
  <c r="B2772"/>
  <c r="D2771"/>
  <c r="C2771"/>
  <c r="B2771"/>
  <c r="D2770"/>
  <c r="C2770"/>
  <c r="B2770"/>
  <c r="D2769"/>
  <c r="C2769"/>
  <c r="B2769"/>
  <c r="D2768"/>
  <c r="C2768"/>
  <c r="B2768"/>
  <c r="D2767"/>
  <c r="C2767"/>
  <c r="B2767"/>
  <c r="D2766"/>
  <c r="C2766"/>
  <c r="B2766"/>
  <c r="D2765"/>
  <c r="C2765"/>
  <c r="B2765"/>
  <c r="D2764"/>
  <c r="C2764"/>
  <c r="B2764"/>
  <c r="D2763"/>
  <c r="C2763"/>
  <c r="B2763"/>
  <c r="D2762"/>
  <c r="C2762"/>
  <c r="B2762"/>
  <c r="D2761"/>
  <c r="C2761"/>
  <c r="B2761"/>
  <c r="D2760"/>
  <c r="C2760"/>
  <c r="B2760"/>
  <c r="D2759"/>
  <c r="C2759"/>
  <c r="B2759"/>
  <c r="D2758"/>
  <c r="C2758"/>
  <c r="B2758"/>
  <c r="D2757"/>
  <c r="C2757"/>
  <c r="B2757"/>
  <c r="D2756"/>
  <c r="C2756"/>
  <c r="B2756"/>
  <c r="D2755"/>
  <c r="C2755"/>
  <c r="B2755"/>
  <c r="D2754"/>
  <c r="C2754"/>
  <c r="B2754"/>
  <c r="D2753"/>
  <c r="C2753"/>
  <c r="B2753"/>
  <c r="D2752"/>
  <c r="C2752"/>
  <c r="B2752"/>
  <c r="D2751"/>
  <c r="C2751"/>
  <c r="B2751"/>
  <c r="D2750"/>
  <c r="C2750"/>
  <c r="B2750"/>
  <c r="D2749"/>
  <c r="C2749"/>
  <c r="B2749"/>
  <c r="D2748"/>
  <c r="C2748"/>
  <c r="B2748"/>
  <c r="D2747"/>
  <c r="C2747"/>
  <c r="B2747"/>
  <c r="D2746"/>
  <c r="C2746"/>
  <c r="B2746"/>
  <c r="D2745"/>
  <c r="C2745"/>
  <c r="B2745"/>
  <c r="D2744"/>
  <c r="C2744"/>
  <c r="B2744"/>
  <c r="D2743"/>
  <c r="C2743"/>
  <c r="B2743"/>
  <c r="D2742"/>
  <c r="C2742"/>
  <c r="B2742"/>
  <c r="D2741"/>
  <c r="C2741"/>
  <c r="B2741"/>
  <c r="D2740"/>
  <c r="C2740"/>
  <c r="B2740"/>
  <c r="D2739"/>
  <c r="C2739"/>
  <c r="B2739"/>
  <c r="D2738"/>
  <c r="C2738"/>
  <c r="B2738"/>
  <c r="D2737"/>
  <c r="C2737"/>
  <c r="B2737"/>
  <c r="D2736"/>
  <c r="C2736"/>
  <c r="B2736"/>
  <c r="D2735"/>
  <c r="C2735"/>
  <c r="B2735"/>
  <c r="D2734"/>
  <c r="C2734"/>
  <c r="B2734"/>
  <c r="D2733"/>
  <c r="C2733"/>
  <c r="B2733"/>
  <c r="D2732"/>
  <c r="C2732"/>
  <c r="B2732"/>
  <c r="D2731"/>
  <c r="C2731"/>
  <c r="B2731"/>
  <c r="D2730"/>
  <c r="C2730"/>
  <c r="B2730"/>
  <c r="D2729"/>
  <c r="C2729"/>
  <c r="B2729"/>
  <c r="D2728"/>
  <c r="C2728"/>
  <c r="B2728"/>
  <c r="D2727"/>
  <c r="C2727"/>
  <c r="B2727"/>
  <c r="D2726"/>
  <c r="C2726"/>
  <c r="B2726"/>
  <c r="D2725"/>
  <c r="C2725"/>
  <c r="B2725"/>
  <c r="D2724"/>
  <c r="C2724"/>
  <c r="B2724"/>
  <c r="D2723"/>
  <c r="C2723"/>
  <c r="B2723"/>
  <c r="D2722"/>
  <c r="C2722"/>
  <c r="B2722"/>
  <c r="D2721"/>
  <c r="C2721"/>
  <c r="B2721"/>
  <c r="D2720"/>
  <c r="C2720"/>
  <c r="B2720"/>
  <c r="D2719"/>
  <c r="C2719"/>
  <c r="B2719"/>
  <c r="D2718"/>
  <c r="C2718"/>
  <c r="B2718"/>
  <c r="D2717"/>
  <c r="C2717"/>
  <c r="B2717"/>
  <c r="D2716"/>
  <c r="C2716"/>
  <c r="B2716"/>
  <c r="D2715"/>
  <c r="C2715"/>
  <c r="B2715"/>
  <c r="D2714"/>
  <c r="C2714"/>
  <c r="B2714"/>
  <c r="D2713"/>
  <c r="C2713"/>
  <c r="B2713"/>
  <c r="D2712"/>
  <c r="C2712"/>
  <c r="B2712"/>
  <c r="D2711"/>
  <c r="C2711"/>
  <c r="B2711"/>
  <c r="D2710"/>
  <c r="C2710"/>
  <c r="B2710"/>
  <c r="D2709"/>
  <c r="C2709"/>
  <c r="B2709"/>
  <c r="D2708"/>
  <c r="C2708"/>
  <c r="B2708"/>
  <c r="D2707"/>
  <c r="C2707"/>
  <c r="B2707"/>
  <c r="D2706"/>
  <c r="C2706"/>
  <c r="B2706"/>
  <c r="D2705"/>
  <c r="C2705"/>
  <c r="B2705"/>
  <c r="D2704"/>
  <c r="C2704"/>
  <c r="B2704"/>
  <c r="D2703"/>
  <c r="C2703"/>
  <c r="B2703"/>
  <c r="D2702"/>
  <c r="C2702"/>
  <c r="B2702"/>
  <c r="D2701"/>
  <c r="C2701"/>
  <c r="B2701"/>
  <c r="D2700"/>
  <c r="C2700"/>
  <c r="B2700"/>
  <c r="D2699"/>
  <c r="C2699"/>
  <c r="B2699"/>
  <c r="D2698"/>
  <c r="C2698"/>
  <c r="B2698"/>
  <c r="D2697"/>
  <c r="C2697"/>
  <c r="B2697"/>
  <c r="D2696"/>
  <c r="C2696"/>
  <c r="B2696"/>
  <c r="D2695"/>
  <c r="C2695"/>
  <c r="B2695"/>
  <c r="D2694"/>
  <c r="C2694"/>
  <c r="B2694"/>
  <c r="D2693"/>
  <c r="C2693"/>
  <c r="B2693"/>
  <c r="D2692"/>
  <c r="C2692"/>
  <c r="B2692"/>
  <c r="D2691"/>
  <c r="C2691"/>
  <c r="B2691"/>
  <c r="D2690"/>
  <c r="C2690"/>
  <c r="B2690"/>
  <c r="D2689"/>
  <c r="C2689"/>
  <c r="B2689"/>
  <c r="D2688"/>
  <c r="C2688"/>
  <c r="B2688"/>
  <c r="D2687"/>
  <c r="C2687"/>
  <c r="B2687"/>
  <c r="D2686"/>
  <c r="C2686"/>
  <c r="B2686"/>
  <c r="D2685"/>
  <c r="C2685"/>
  <c r="B2685"/>
  <c r="D2684"/>
  <c r="C2684"/>
  <c r="B2684"/>
  <c r="D2683"/>
  <c r="C2683"/>
  <c r="B2683"/>
  <c r="D2682"/>
  <c r="C2682"/>
  <c r="B2682"/>
  <c r="D2681"/>
  <c r="C2681"/>
  <c r="B2681"/>
  <c r="D2680"/>
  <c r="C2680"/>
  <c r="B2680"/>
  <c r="D2679"/>
  <c r="C2679"/>
  <c r="B2679"/>
  <c r="D2678"/>
  <c r="C2678"/>
  <c r="B2678"/>
  <c r="D2677"/>
  <c r="C2677"/>
  <c r="B2677"/>
  <c r="D2676"/>
  <c r="C2676"/>
  <c r="B2676"/>
  <c r="D2675"/>
  <c r="C2675"/>
  <c r="B2675"/>
  <c r="D2674"/>
  <c r="C2674"/>
  <c r="B2674"/>
  <c r="D2673"/>
  <c r="C2673"/>
  <c r="B2673"/>
  <c r="D2672"/>
  <c r="C2672"/>
  <c r="B2672"/>
  <c r="D2671"/>
  <c r="C2671"/>
  <c r="B2671"/>
  <c r="D2670"/>
  <c r="C2670"/>
  <c r="B2670"/>
  <c r="D2669"/>
  <c r="C2669"/>
  <c r="B2669"/>
  <c r="D2668"/>
  <c r="C2668"/>
  <c r="B2668"/>
  <c r="D2667"/>
  <c r="C2667"/>
  <c r="B2667"/>
  <c r="D2666"/>
  <c r="C2666"/>
  <c r="B2666"/>
  <c r="D2665"/>
  <c r="C2665"/>
  <c r="B2665"/>
  <c r="D2664"/>
  <c r="C2664"/>
  <c r="B2664"/>
  <c r="D2663"/>
  <c r="C2663"/>
  <c r="B2663"/>
  <c r="D2662"/>
  <c r="C2662"/>
  <c r="B2662"/>
  <c r="D2661"/>
  <c r="C2661"/>
  <c r="B2661"/>
  <c r="D2660"/>
  <c r="C2660"/>
  <c r="B2660"/>
  <c r="D2659"/>
  <c r="C2659"/>
  <c r="B2659"/>
  <c r="D2658"/>
  <c r="C2658"/>
  <c r="B2658"/>
  <c r="D2657"/>
  <c r="C2657"/>
  <c r="B2657"/>
  <c r="D2656"/>
  <c r="C2656"/>
  <c r="B2656"/>
  <c r="D2655"/>
  <c r="C2655"/>
  <c r="B2655"/>
  <c r="D2654"/>
  <c r="C2654"/>
  <c r="B2654"/>
  <c r="D2653"/>
  <c r="C2653"/>
  <c r="B2653"/>
  <c r="D2652"/>
  <c r="C2652"/>
  <c r="B2652"/>
  <c r="D2651"/>
  <c r="C2651"/>
  <c r="B2651"/>
  <c r="D2650"/>
  <c r="C2650"/>
  <c r="B2650"/>
  <c r="D2649"/>
  <c r="C2649"/>
  <c r="B2649"/>
  <c r="D2648"/>
  <c r="C2648"/>
  <c r="B2648"/>
  <c r="D2647"/>
  <c r="C2647"/>
  <c r="B2647"/>
  <c r="D2646"/>
  <c r="C2646"/>
  <c r="B2646"/>
  <c r="D2645"/>
  <c r="C2645"/>
  <c r="B2645"/>
  <c r="D2644"/>
  <c r="C2644"/>
  <c r="B2644"/>
  <c r="D2643"/>
  <c r="C2643"/>
  <c r="B2643"/>
  <c r="D2642"/>
  <c r="C2642"/>
  <c r="B2642"/>
  <c r="D2641"/>
  <c r="C2641"/>
  <c r="B2641"/>
  <c r="D2640"/>
  <c r="C2640"/>
  <c r="B2640"/>
  <c r="D2639"/>
  <c r="C2639"/>
  <c r="B2639"/>
  <c r="D2638"/>
  <c r="C2638"/>
  <c r="B2638"/>
  <c r="D2637"/>
  <c r="C2637"/>
  <c r="B2637"/>
  <c r="D2636"/>
  <c r="C2636"/>
  <c r="B2636"/>
  <c r="D2635"/>
  <c r="C2635"/>
  <c r="B2635"/>
  <c r="D2634"/>
  <c r="C2634"/>
  <c r="B2634"/>
  <c r="D2633"/>
  <c r="C2633"/>
  <c r="B2633"/>
  <c r="D2632"/>
  <c r="C2632"/>
  <c r="B2632"/>
  <c r="D2631"/>
  <c r="C2631"/>
  <c r="B2631"/>
  <c r="D2630"/>
  <c r="C2630"/>
  <c r="B2630"/>
  <c r="D2629"/>
  <c r="C2629"/>
  <c r="B2629"/>
  <c r="D2628"/>
  <c r="C2628"/>
  <c r="B2628"/>
  <c r="D2627"/>
  <c r="C2627"/>
  <c r="B2627"/>
  <c r="D2626"/>
  <c r="C2626"/>
  <c r="B2626"/>
  <c r="D2625"/>
  <c r="C2625"/>
  <c r="B2625"/>
  <c r="D2624"/>
  <c r="C2624"/>
  <c r="B2624"/>
  <c r="D2623"/>
  <c r="C2623"/>
  <c r="B2623"/>
  <c r="D2622"/>
  <c r="C2622"/>
  <c r="B2622"/>
  <c r="D2621"/>
  <c r="C2621"/>
  <c r="B2621"/>
  <c r="D2620"/>
  <c r="C2620"/>
  <c r="B2620"/>
  <c r="D2619"/>
  <c r="C2619"/>
  <c r="B2619"/>
  <c r="D2618"/>
  <c r="C2618"/>
  <c r="B2618"/>
  <c r="D2617"/>
  <c r="C2617"/>
  <c r="B2617"/>
  <c r="D2616"/>
  <c r="C2616"/>
  <c r="B2616"/>
  <c r="D2615"/>
  <c r="C2615"/>
  <c r="B2615"/>
  <c r="D2614"/>
  <c r="C2614"/>
  <c r="B2614"/>
  <c r="D2613"/>
  <c r="C2613"/>
  <c r="B2613"/>
  <c r="D2612"/>
  <c r="C2612"/>
  <c r="B2612"/>
  <c r="D2611"/>
  <c r="C2611"/>
  <c r="B2611"/>
  <c r="D2610"/>
  <c r="C2610"/>
  <c r="B2610"/>
  <c r="D2609"/>
  <c r="C2609"/>
  <c r="B2609"/>
  <c r="D2608"/>
  <c r="C2608"/>
  <c r="B2608"/>
  <c r="D2607"/>
  <c r="C2607"/>
  <c r="B2607"/>
  <c r="D2606"/>
  <c r="C2606"/>
  <c r="B2606"/>
  <c r="D2605"/>
  <c r="C2605"/>
  <c r="B2605"/>
  <c r="D2604"/>
  <c r="C2604"/>
  <c r="B2604"/>
  <c r="D2603"/>
  <c r="C2603"/>
  <c r="B2603"/>
  <c r="D2602"/>
  <c r="C2602"/>
  <c r="B2602"/>
  <c r="D2601"/>
  <c r="C2601"/>
  <c r="B2601"/>
  <c r="D2600"/>
  <c r="C2600"/>
  <c r="B2600"/>
  <c r="D2599"/>
  <c r="C2599"/>
  <c r="B2599"/>
  <c r="D2598"/>
  <c r="C2598"/>
  <c r="B2598"/>
  <c r="D2597"/>
  <c r="C2597"/>
  <c r="B2597"/>
  <c r="D2596"/>
  <c r="C2596"/>
  <c r="B2596"/>
  <c r="D2595"/>
  <c r="C2595"/>
  <c r="B2595"/>
  <c r="D2594"/>
  <c r="C2594"/>
  <c r="B2594"/>
  <c r="D2593"/>
  <c r="C2593"/>
  <c r="B2593"/>
  <c r="D2592"/>
  <c r="C2592"/>
  <c r="B2592"/>
  <c r="D2591"/>
  <c r="C2591"/>
  <c r="B2591"/>
  <c r="D2590"/>
  <c r="C2590"/>
  <c r="B2590"/>
  <c r="D2589"/>
  <c r="C2589"/>
  <c r="B2589"/>
  <c r="D2588"/>
  <c r="C2588"/>
  <c r="B2588"/>
  <c r="D2587"/>
  <c r="C2587"/>
  <c r="B2587"/>
  <c r="D2586"/>
  <c r="C2586"/>
  <c r="B2586"/>
  <c r="D2585"/>
  <c r="C2585"/>
  <c r="B2585"/>
  <c r="D2584"/>
  <c r="C2584"/>
  <c r="B2584"/>
  <c r="D2583"/>
  <c r="C2583"/>
  <c r="B2583"/>
  <c r="D2582"/>
  <c r="C2582"/>
  <c r="B2582"/>
  <c r="D2581"/>
  <c r="C2581"/>
  <c r="B2581"/>
  <c r="D2580"/>
  <c r="C2580"/>
  <c r="B2580"/>
  <c r="D2579"/>
  <c r="C2579"/>
  <c r="B2579"/>
  <c r="D2578"/>
  <c r="C2578"/>
  <c r="B2578"/>
  <c r="D2577"/>
  <c r="C2577"/>
  <c r="B2577"/>
  <c r="D2576"/>
  <c r="C2576"/>
  <c r="B2576"/>
  <c r="D2575"/>
  <c r="C2575"/>
  <c r="B2575"/>
  <c r="D2574"/>
  <c r="C2574"/>
  <c r="B2574"/>
  <c r="D2573"/>
  <c r="C2573"/>
  <c r="B2573"/>
  <c r="D2572"/>
  <c r="C2572"/>
  <c r="B2572"/>
  <c r="D2571"/>
  <c r="C2571"/>
  <c r="B2571"/>
  <c r="D2570"/>
  <c r="C2570"/>
  <c r="B2570"/>
  <c r="D2569"/>
  <c r="C2569"/>
  <c r="B2569"/>
  <c r="D2568"/>
  <c r="C2568"/>
  <c r="B2568"/>
  <c r="D2567"/>
  <c r="C2567"/>
  <c r="B2567"/>
  <c r="D2566"/>
  <c r="C2566"/>
  <c r="B2566"/>
  <c r="D2565"/>
  <c r="C2565"/>
  <c r="B2565"/>
  <c r="D2564"/>
  <c r="C2564"/>
  <c r="B2564"/>
  <c r="D2563"/>
  <c r="C2563"/>
  <c r="B2563"/>
  <c r="D2562"/>
  <c r="C2562"/>
  <c r="B2562"/>
  <c r="D2561"/>
  <c r="C2561"/>
  <c r="B2561"/>
  <c r="D2560"/>
  <c r="C2560"/>
  <c r="B2560"/>
  <c r="D2559"/>
  <c r="C2559"/>
  <c r="B2559"/>
  <c r="D2558"/>
  <c r="C2558"/>
  <c r="B2558"/>
  <c r="D2557"/>
  <c r="C2557"/>
  <c r="B2557"/>
  <c r="D2556"/>
  <c r="C2556"/>
  <c r="B2556"/>
  <c r="D2555"/>
  <c r="C2555"/>
  <c r="B2555"/>
  <c r="D2554"/>
  <c r="C2554"/>
  <c r="B2554"/>
  <c r="D2553"/>
  <c r="C2553"/>
  <c r="B2553"/>
  <c r="D2552"/>
  <c r="C2552"/>
  <c r="B2552"/>
  <c r="D2551"/>
  <c r="C2551"/>
  <c r="B2551"/>
  <c r="D2550"/>
  <c r="C2550"/>
  <c r="B2550"/>
  <c r="D2549"/>
  <c r="C2549"/>
  <c r="B2549"/>
  <c r="D2548"/>
  <c r="C2548"/>
  <c r="B2548"/>
  <c r="D2547"/>
  <c r="C2547"/>
  <c r="B2547"/>
  <c r="D2546"/>
  <c r="C2546"/>
  <c r="B2546"/>
  <c r="D2545"/>
  <c r="C2545"/>
  <c r="B2545"/>
  <c r="D2544"/>
  <c r="C2544"/>
  <c r="B2544"/>
  <c r="D2543"/>
  <c r="C2543"/>
  <c r="B2543"/>
  <c r="D2542"/>
  <c r="C2542"/>
  <c r="B2542"/>
  <c r="D2541"/>
  <c r="C2541"/>
  <c r="B2541"/>
  <c r="D2540"/>
  <c r="C2540"/>
  <c r="B2540"/>
  <c r="D2539"/>
  <c r="C2539"/>
  <c r="B2539"/>
  <c r="D2538"/>
  <c r="C2538"/>
  <c r="B2538"/>
  <c r="D2537"/>
  <c r="C2537"/>
  <c r="B2537"/>
  <c r="D2536"/>
  <c r="C2536"/>
  <c r="B2536"/>
  <c r="D2535"/>
  <c r="C2535"/>
  <c r="B2535"/>
  <c r="D2534"/>
  <c r="C2534"/>
  <c r="B2534"/>
  <c r="D2533"/>
  <c r="C2533"/>
  <c r="B2533"/>
  <c r="D2532"/>
  <c r="C2532"/>
  <c r="B2532"/>
  <c r="D2531"/>
  <c r="C2531"/>
  <c r="B2531"/>
  <c r="D2530"/>
  <c r="C2530"/>
  <c r="B2530"/>
  <c r="D2529"/>
  <c r="C2529"/>
  <c r="B2529"/>
  <c r="D2528"/>
  <c r="C2528"/>
  <c r="B2528"/>
  <c r="D2527"/>
  <c r="C2527"/>
  <c r="B2527"/>
  <c r="D2526"/>
  <c r="C2526"/>
  <c r="B2526"/>
  <c r="D2525"/>
  <c r="C2525"/>
  <c r="B2525"/>
  <c r="D2524"/>
  <c r="C2524"/>
  <c r="B2524"/>
  <c r="D2523"/>
  <c r="C2523"/>
  <c r="B2523"/>
  <c r="D2522"/>
  <c r="C2522"/>
  <c r="B2522"/>
  <c r="D2521"/>
  <c r="C2521"/>
  <c r="B2521"/>
  <c r="D2520"/>
  <c r="C2520"/>
  <c r="B2520"/>
  <c r="D2519"/>
  <c r="C2519"/>
  <c r="B2519"/>
  <c r="D2518"/>
  <c r="C2518"/>
  <c r="B2518"/>
  <c r="D2517"/>
  <c r="C2517"/>
  <c r="B2517"/>
  <c r="D2516"/>
  <c r="C2516"/>
  <c r="B2516"/>
  <c r="D2515"/>
  <c r="C2515"/>
  <c r="B2515"/>
  <c r="D2514"/>
  <c r="C2514"/>
  <c r="B2514"/>
  <c r="D2513"/>
  <c r="C2513"/>
  <c r="B2513"/>
  <c r="D2512"/>
  <c r="C2512"/>
  <c r="B2512"/>
  <c r="D2511"/>
  <c r="C2511"/>
  <c r="B2511"/>
  <c r="D2510"/>
  <c r="C2510"/>
  <c r="B2510"/>
  <c r="D2509"/>
  <c r="C2509"/>
  <c r="B2509"/>
  <c r="D2508"/>
  <c r="C2508"/>
  <c r="B2508"/>
  <c r="D2507"/>
  <c r="C2507"/>
  <c r="B2507"/>
  <c r="D2506"/>
  <c r="C2506"/>
  <c r="B2506"/>
  <c r="D2505"/>
  <c r="C2505"/>
  <c r="B2505"/>
  <c r="D2504"/>
  <c r="C2504"/>
  <c r="B2504"/>
  <c r="D2503"/>
  <c r="C2503"/>
  <c r="B2503"/>
  <c r="D2502"/>
  <c r="C2502"/>
  <c r="B2502"/>
  <c r="D2501"/>
  <c r="C2501"/>
  <c r="B2501"/>
  <c r="D2500"/>
  <c r="C2500"/>
  <c r="B2500"/>
  <c r="D2499"/>
  <c r="C2499"/>
  <c r="B2499"/>
  <c r="D2498"/>
  <c r="C2498"/>
  <c r="B2498"/>
  <c r="D2497"/>
  <c r="C2497"/>
  <c r="B2497"/>
  <c r="D2496"/>
  <c r="C2496"/>
  <c r="B2496"/>
  <c r="D2495"/>
  <c r="C2495"/>
  <c r="B2495"/>
  <c r="D2494"/>
  <c r="C2494"/>
  <c r="B2494"/>
  <c r="D2493"/>
  <c r="C2493"/>
  <c r="B2493"/>
  <c r="D2492"/>
  <c r="C2492"/>
  <c r="B2492"/>
  <c r="D2491"/>
  <c r="C2491"/>
  <c r="B2491"/>
  <c r="D2490"/>
  <c r="C2490"/>
  <c r="B2490"/>
  <c r="D2489"/>
  <c r="C2489"/>
  <c r="B2489"/>
  <c r="D2488"/>
  <c r="C2488"/>
  <c r="B2488"/>
  <c r="D2487"/>
  <c r="C2487"/>
  <c r="B2487"/>
  <c r="D2486"/>
  <c r="C2486"/>
  <c r="B2486"/>
  <c r="D2485"/>
  <c r="C2485"/>
  <c r="B2485"/>
  <c r="D2484"/>
  <c r="C2484"/>
  <c r="B2484"/>
  <c r="D2483"/>
  <c r="C2483"/>
  <c r="B2483"/>
  <c r="D2482"/>
  <c r="C2482"/>
  <c r="B2482"/>
  <c r="D2481"/>
  <c r="C2481"/>
  <c r="B2481"/>
  <c r="D2480"/>
  <c r="C2480"/>
  <c r="B2480"/>
  <c r="D2479"/>
  <c r="C2479"/>
  <c r="B2479"/>
  <c r="D2478"/>
  <c r="C2478"/>
  <c r="B2478"/>
  <c r="D2477"/>
  <c r="C2477"/>
  <c r="B2477"/>
  <c r="D2476"/>
  <c r="C2476"/>
  <c r="B2476"/>
  <c r="D2475"/>
  <c r="C2475"/>
  <c r="B2475"/>
  <c r="D2474"/>
  <c r="C2474"/>
  <c r="B2474"/>
  <c r="D2473"/>
  <c r="C2473"/>
  <c r="B2473"/>
  <c r="D2472"/>
  <c r="C2472"/>
  <c r="B2472"/>
  <c r="D2471"/>
  <c r="C2471"/>
  <c r="B2471"/>
  <c r="D2470"/>
  <c r="C2470"/>
  <c r="B2470"/>
  <c r="D2469"/>
  <c r="C2469"/>
  <c r="B2469"/>
  <c r="D2468"/>
  <c r="C2468"/>
  <c r="B2468"/>
  <c r="D2467"/>
  <c r="C2467"/>
  <c r="B2467"/>
  <c r="D2466"/>
  <c r="C2466"/>
  <c r="B2466"/>
  <c r="D2465"/>
  <c r="C2465"/>
  <c r="B2465"/>
  <c r="D2464"/>
  <c r="C2464"/>
  <c r="B2464"/>
  <c r="D2463"/>
  <c r="C2463"/>
  <c r="B2463"/>
  <c r="D2462"/>
  <c r="C2462"/>
  <c r="B2462"/>
  <c r="D2461"/>
  <c r="C2461"/>
  <c r="B2461"/>
  <c r="D2460"/>
  <c r="C2460"/>
  <c r="B2460"/>
  <c r="D2459"/>
  <c r="C2459"/>
  <c r="B2459"/>
  <c r="D2458"/>
  <c r="C2458"/>
  <c r="B2458"/>
  <c r="D2457"/>
  <c r="C2457"/>
  <c r="B2457"/>
  <c r="D2456"/>
  <c r="C2456"/>
  <c r="B2456"/>
  <c r="D2455"/>
  <c r="C2455"/>
  <c r="B2455"/>
  <c r="D2454"/>
  <c r="C2454"/>
  <c r="B2454"/>
  <c r="D2453"/>
  <c r="C2453"/>
  <c r="B2453"/>
  <c r="D2452"/>
  <c r="C2452"/>
  <c r="B2452"/>
  <c r="D2451"/>
  <c r="C2451"/>
  <c r="B2451"/>
  <c r="D2450"/>
  <c r="C2450"/>
  <c r="B2450"/>
  <c r="D2449"/>
  <c r="C2449"/>
  <c r="B2449"/>
  <c r="D2448"/>
  <c r="C2448"/>
  <c r="B2448"/>
  <c r="D2447"/>
  <c r="C2447"/>
  <c r="B2447"/>
  <c r="D2446"/>
  <c r="C2446"/>
  <c r="B2446"/>
  <c r="D2445"/>
  <c r="C2445"/>
  <c r="B2445"/>
  <c r="D2444"/>
  <c r="C2444"/>
  <c r="B2444"/>
  <c r="D2443"/>
  <c r="C2443"/>
  <c r="B2443"/>
  <c r="D2442"/>
  <c r="C2442"/>
  <c r="B2442"/>
  <c r="D2441"/>
  <c r="C2441"/>
  <c r="B2441"/>
  <c r="D2440"/>
  <c r="C2440"/>
  <c r="B2440"/>
  <c r="D2439"/>
  <c r="C2439"/>
  <c r="B2439"/>
  <c r="D2438"/>
  <c r="C2438"/>
  <c r="B2438"/>
  <c r="D2437"/>
  <c r="C2437"/>
  <c r="B2437"/>
  <c r="D2436"/>
  <c r="C2436"/>
  <c r="B2436"/>
  <c r="D2435"/>
  <c r="C2435"/>
  <c r="B2435"/>
  <c r="D2434"/>
  <c r="C2434"/>
  <c r="B2434"/>
  <c r="D2433"/>
  <c r="C2433"/>
  <c r="B2433"/>
  <c r="D2432"/>
  <c r="C2432"/>
  <c r="B2432"/>
  <c r="D2431"/>
  <c r="C2431"/>
  <c r="B2431"/>
  <c r="D2430"/>
  <c r="C2430"/>
  <c r="B2430"/>
  <c r="D2429"/>
  <c r="C2429"/>
  <c r="B2429"/>
  <c r="D2428"/>
  <c r="C2428"/>
  <c r="B2428"/>
  <c r="D2427"/>
  <c r="C2427"/>
  <c r="B2427"/>
  <c r="D2426"/>
  <c r="C2426"/>
  <c r="B2426"/>
  <c r="D2425"/>
  <c r="C2425"/>
  <c r="B2425"/>
  <c r="D2424"/>
  <c r="C2424"/>
  <c r="B2424"/>
  <c r="D2423"/>
  <c r="C2423"/>
  <c r="B2423"/>
  <c r="D2422"/>
  <c r="C2422"/>
  <c r="B2422"/>
  <c r="D2421"/>
  <c r="C2421"/>
  <c r="B2421"/>
  <c r="D2420"/>
  <c r="C2420"/>
  <c r="B2420"/>
  <c r="D2419"/>
  <c r="C2419"/>
  <c r="B2419"/>
  <c r="D2418"/>
  <c r="C2418"/>
  <c r="B2418"/>
  <c r="D2417"/>
  <c r="C2417"/>
  <c r="B2417"/>
  <c r="D2416"/>
  <c r="C2416"/>
  <c r="B2416"/>
  <c r="D2415"/>
  <c r="C2415"/>
  <c r="B2415"/>
  <c r="D2414"/>
  <c r="C2414"/>
  <c r="B2414"/>
  <c r="D2413"/>
  <c r="C2413"/>
  <c r="B2413"/>
  <c r="D2412"/>
  <c r="C2412"/>
  <c r="B2412"/>
  <c r="D2411"/>
  <c r="C2411"/>
  <c r="B2411"/>
  <c r="D2410"/>
  <c r="C2410"/>
  <c r="B2410"/>
  <c r="D2409"/>
  <c r="C2409"/>
  <c r="B2409"/>
  <c r="D2408"/>
  <c r="C2408"/>
  <c r="B2408"/>
  <c r="D2407"/>
  <c r="C2407"/>
  <c r="B2407"/>
  <c r="D2406"/>
  <c r="C2406"/>
  <c r="B2406"/>
  <c r="D2405"/>
  <c r="C2405"/>
  <c r="B2405"/>
  <c r="D2404"/>
  <c r="C2404"/>
  <c r="B2404"/>
  <c r="D2403"/>
  <c r="C2403"/>
  <c r="B2403"/>
  <c r="D2402"/>
  <c r="C2402"/>
  <c r="B2402"/>
  <c r="D2401"/>
  <c r="C2401"/>
  <c r="B2401"/>
  <c r="D2400"/>
  <c r="C2400"/>
  <c r="B2400"/>
  <c r="D2399"/>
  <c r="C2399"/>
  <c r="B2399"/>
  <c r="D2398"/>
  <c r="C2398"/>
  <c r="B2398"/>
  <c r="D2397"/>
  <c r="C2397"/>
  <c r="B2397"/>
  <c r="D2396"/>
  <c r="C2396"/>
  <c r="B2396"/>
  <c r="D2395"/>
  <c r="C2395"/>
  <c r="B2395"/>
  <c r="D2394"/>
  <c r="C2394"/>
  <c r="B2394"/>
  <c r="D2393"/>
  <c r="C2393"/>
  <c r="B2393"/>
  <c r="D2392"/>
  <c r="C2392"/>
  <c r="B2392"/>
  <c r="D2391"/>
  <c r="C2391"/>
  <c r="B2391"/>
  <c r="D2390"/>
  <c r="C2390"/>
  <c r="B2390"/>
  <c r="D2389"/>
  <c r="C2389"/>
  <c r="B2389"/>
  <c r="D2388"/>
  <c r="C2388"/>
  <c r="B2388"/>
  <c r="D2387"/>
  <c r="C2387"/>
  <c r="B2387"/>
  <c r="D2386"/>
  <c r="C2386"/>
  <c r="B2386"/>
  <c r="D2385"/>
  <c r="C2385"/>
  <c r="B2385"/>
  <c r="D2384"/>
  <c r="C2384"/>
  <c r="B2384"/>
  <c r="D2383"/>
  <c r="C2383"/>
  <c r="B2383"/>
  <c r="D2382"/>
  <c r="C2382"/>
  <c r="B2382"/>
  <c r="D2381"/>
  <c r="C2381"/>
  <c r="B2381"/>
  <c r="D2380"/>
  <c r="C2380"/>
  <c r="B2380"/>
  <c r="D2379"/>
  <c r="C2379"/>
  <c r="B2379"/>
  <c r="D2378"/>
  <c r="C2378"/>
  <c r="B2378"/>
  <c r="D2377"/>
  <c r="C2377"/>
  <c r="B2377"/>
  <c r="D2376"/>
  <c r="C2376"/>
  <c r="B2376"/>
  <c r="D2375"/>
  <c r="C2375"/>
  <c r="B2375"/>
  <c r="D2374"/>
  <c r="C2374"/>
  <c r="B2374"/>
  <c r="D2373"/>
  <c r="C2373"/>
  <c r="B2373"/>
  <c r="D2372"/>
  <c r="C2372"/>
  <c r="B2372"/>
  <c r="D2371"/>
  <c r="C2371"/>
  <c r="B2371"/>
  <c r="D2370"/>
  <c r="C2370"/>
  <c r="B2370"/>
  <c r="D2369"/>
  <c r="C2369"/>
  <c r="B2369"/>
  <c r="D2368"/>
  <c r="C2368"/>
  <c r="B2368"/>
  <c r="D2367"/>
  <c r="C2367"/>
  <c r="B2367"/>
  <c r="D2366"/>
  <c r="C2366"/>
  <c r="B2366"/>
  <c r="D2365"/>
  <c r="C2365"/>
  <c r="B2365"/>
  <c r="D2364"/>
  <c r="C2364"/>
  <c r="B2364"/>
  <c r="D2363"/>
  <c r="C2363"/>
  <c r="B2363"/>
  <c r="D2362"/>
  <c r="C2362"/>
  <c r="B2362"/>
  <c r="D2361"/>
  <c r="C2361"/>
  <c r="B2361"/>
  <c r="D2360"/>
  <c r="C2360"/>
  <c r="B2360"/>
  <c r="D2359"/>
  <c r="C2359"/>
  <c r="B2359"/>
  <c r="D2358"/>
  <c r="C2358"/>
  <c r="B2358"/>
  <c r="D2357"/>
  <c r="C2357"/>
  <c r="B2357"/>
  <c r="D2356"/>
  <c r="C2356"/>
  <c r="B2356"/>
  <c r="D2355"/>
  <c r="C2355"/>
  <c r="B2355"/>
  <c r="D2354"/>
  <c r="C2354"/>
  <c r="B2354"/>
  <c r="D2353"/>
  <c r="C2353"/>
  <c r="B2353"/>
  <c r="D2352"/>
  <c r="C2352"/>
  <c r="B2352"/>
  <c r="D2351"/>
  <c r="C2351"/>
  <c r="B2351"/>
  <c r="D2350"/>
  <c r="C2350"/>
  <c r="B2350"/>
  <c r="D2349"/>
  <c r="C2349"/>
  <c r="B2349"/>
  <c r="D2348"/>
  <c r="C2348"/>
  <c r="B2348"/>
  <c r="D2347"/>
  <c r="C2347"/>
  <c r="B2347"/>
  <c r="D2346"/>
  <c r="C2346"/>
  <c r="B2346"/>
  <c r="D2345"/>
  <c r="C2345"/>
  <c r="B2345"/>
  <c r="D2344"/>
  <c r="C2344"/>
  <c r="B2344"/>
  <c r="D2343"/>
  <c r="C2343"/>
  <c r="B2343"/>
  <c r="D2342"/>
  <c r="C2342"/>
  <c r="B2342"/>
  <c r="D2341"/>
  <c r="C2341"/>
  <c r="B2341"/>
  <c r="D2340"/>
  <c r="C2340"/>
  <c r="B2340"/>
  <c r="D2339"/>
  <c r="C2339"/>
  <c r="B2339"/>
  <c r="D2338"/>
  <c r="C2338"/>
  <c r="B2338"/>
  <c r="D2337"/>
  <c r="C2337"/>
  <c r="B2337"/>
  <c r="D2336"/>
  <c r="C2336"/>
  <c r="B2336"/>
  <c r="D2335"/>
  <c r="C2335"/>
  <c r="B2335"/>
  <c r="D2334"/>
  <c r="C2334"/>
  <c r="B2334"/>
  <c r="D2333"/>
  <c r="C2333"/>
  <c r="B2333"/>
  <c r="D2332"/>
  <c r="C2332"/>
  <c r="B2332"/>
  <c r="D2331"/>
  <c r="C2331"/>
  <c r="B2331"/>
  <c r="D2330"/>
  <c r="C2330"/>
  <c r="B2330"/>
  <c r="D2329"/>
  <c r="C2329"/>
  <c r="B2329"/>
  <c r="D2328"/>
  <c r="C2328"/>
  <c r="B2328"/>
  <c r="D2327"/>
  <c r="C2327"/>
  <c r="B2327"/>
  <c r="D2326"/>
  <c r="C2326"/>
  <c r="B2326"/>
  <c r="D2325"/>
  <c r="C2325"/>
  <c r="B2325"/>
  <c r="D2324"/>
  <c r="C2324"/>
  <c r="B2324"/>
  <c r="D2323"/>
  <c r="C2323"/>
  <c r="B2323"/>
  <c r="D2322"/>
  <c r="C2322"/>
  <c r="B2322"/>
  <c r="D2321"/>
  <c r="C2321"/>
  <c r="B2321"/>
  <c r="D2320"/>
  <c r="C2320"/>
  <c r="B2320"/>
  <c r="D2319"/>
  <c r="C2319"/>
  <c r="B2319"/>
  <c r="D2318"/>
  <c r="C2318"/>
  <c r="B2318"/>
  <c r="D2317"/>
  <c r="C2317"/>
  <c r="B2317"/>
  <c r="D2316"/>
  <c r="C2316"/>
  <c r="B2316"/>
  <c r="D2315"/>
  <c r="C2315"/>
  <c r="B2315"/>
  <c r="D2314"/>
  <c r="C2314"/>
  <c r="B2314"/>
  <c r="D2313"/>
  <c r="C2313"/>
  <c r="B2313"/>
  <c r="D2312"/>
  <c r="C2312"/>
  <c r="B2312"/>
  <c r="D2311"/>
  <c r="C2311"/>
  <c r="B2311"/>
  <c r="D2310"/>
  <c r="C2310"/>
  <c r="B2310"/>
  <c r="D2309"/>
  <c r="C2309"/>
  <c r="B2309"/>
  <c r="D2308"/>
  <c r="C2308"/>
  <c r="B2308"/>
  <c r="D2307"/>
  <c r="C2307"/>
  <c r="B2307"/>
  <c r="D2306"/>
  <c r="C2306"/>
  <c r="B2306"/>
  <c r="D2305"/>
  <c r="C2305"/>
  <c r="B2305"/>
  <c r="D2304"/>
  <c r="C2304"/>
  <c r="B2304"/>
  <c r="D2303"/>
  <c r="C2303"/>
  <c r="B2303"/>
  <c r="D2302"/>
  <c r="C2302"/>
  <c r="B2302"/>
  <c r="D2301"/>
  <c r="C2301"/>
  <c r="B2301"/>
  <c r="D2300"/>
  <c r="C2300"/>
  <c r="B2300"/>
  <c r="D2299"/>
  <c r="C2299"/>
  <c r="B2299"/>
  <c r="D2298"/>
  <c r="C2298"/>
  <c r="B2298"/>
  <c r="D2297"/>
  <c r="C2297"/>
  <c r="B2297"/>
  <c r="D2296"/>
  <c r="C2296"/>
  <c r="B2296"/>
  <c r="D2295"/>
  <c r="C2295"/>
  <c r="B2295"/>
  <c r="D2294"/>
  <c r="C2294"/>
  <c r="B2294"/>
  <c r="D2293"/>
  <c r="C2293"/>
  <c r="B2293"/>
  <c r="D2292"/>
  <c r="C2292"/>
  <c r="B2292"/>
  <c r="D2291"/>
  <c r="C2291"/>
  <c r="B2291"/>
  <c r="D2290"/>
  <c r="C2290"/>
  <c r="B2290"/>
  <c r="D2289"/>
  <c r="C2289"/>
  <c r="B2289"/>
  <c r="D2288"/>
  <c r="C2288"/>
  <c r="B2288"/>
  <c r="D2287"/>
  <c r="C2287"/>
  <c r="B2287"/>
  <c r="D2286"/>
  <c r="C2286"/>
  <c r="B2286"/>
  <c r="D2285"/>
  <c r="C2285"/>
  <c r="B2285"/>
  <c r="D2284"/>
  <c r="C2284"/>
  <c r="B2284"/>
  <c r="D2283"/>
  <c r="C2283"/>
  <c r="B2283"/>
  <c r="D2282"/>
  <c r="C2282"/>
  <c r="B2282"/>
  <c r="D2281"/>
  <c r="C2281"/>
  <c r="B2281"/>
  <c r="D2280"/>
  <c r="C2280"/>
  <c r="B2280"/>
  <c r="D2279"/>
  <c r="C2279"/>
  <c r="B2279"/>
  <c r="D2278"/>
  <c r="C2278"/>
  <c r="B2278"/>
  <c r="D2277"/>
  <c r="C2277"/>
  <c r="B2277"/>
  <c r="D2276"/>
  <c r="C2276"/>
  <c r="B2276"/>
  <c r="D2275"/>
  <c r="C2275"/>
  <c r="B2275"/>
  <c r="D2274"/>
  <c r="C2274"/>
  <c r="B2274"/>
  <c r="D2273"/>
  <c r="C2273"/>
  <c r="B2273"/>
  <c r="D2272"/>
  <c r="C2272"/>
  <c r="B2272"/>
  <c r="D2271"/>
  <c r="C2271"/>
  <c r="B2271"/>
  <c r="D2270"/>
  <c r="C2270"/>
  <c r="B2270"/>
  <c r="D2269"/>
  <c r="C2269"/>
  <c r="B2269"/>
  <c r="D2268"/>
  <c r="C2268"/>
  <c r="B2268"/>
  <c r="D2267"/>
  <c r="C2267"/>
  <c r="B2267"/>
  <c r="D2266"/>
  <c r="C2266"/>
  <c r="B2266"/>
  <c r="D2265"/>
  <c r="C2265"/>
  <c r="B2265"/>
  <c r="D2264"/>
  <c r="C2264"/>
  <c r="B2264"/>
  <c r="D2263"/>
  <c r="C2263"/>
  <c r="B2263"/>
  <c r="D2262"/>
  <c r="C2262"/>
  <c r="B2262"/>
  <c r="D2261"/>
  <c r="C2261"/>
  <c r="B2261"/>
  <c r="D2260"/>
  <c r="C2260"/>
  <c r="B2260"/>
  <c r="D2259"/>
  <c r="C2259"/>
  <c r="B2259"/>
  <c r="D2258"/>
  <c r="C2258"/>
  <c r="B2258"/>
  <c r="D2257"/>
  <c r="C2257"/>
  <c r="B2257"/>
  <c r="D2256"/>
  <c r="C2256"/>
  <c r="B2256"/>
  <c r="D2255"/>
  <c r="C2255"/>
  <c r="B2255"/>
  <c r="D2254"/>
  <c r="C2254"/>
  <c r="B2254"/>
  <c r="D2253"/>
  <c r="C2253"/>
  <c r="B2253"/>
  <c r="D2252"/>
  <c r="C2252"/>
  <c r="B2252"/>
  <c r="D2251"/>
  <c r="C2251"/>
  <c r="B2251"/>
  <c r="D2250"/>
  <c r="C2250"/>
  <c r="B2250"/>
  <c r="D2249"/>
  <c r="C2249"/>
  <c r="B2249"/>
  <c r="D2248"/>
  <c r="C2248"/>
  <c r="B2248"/>
  <c r="D2247"/>
  <c r="C2247"/>
  <c r="B2247"/>
  <c r="D2246"/>
  <c r="C2246"/>
  <c r="B2246"/>
  <c r="D2245"/>
  <c r="C2245"/>
  <c r="B2245"/>
  <c r="D2244"/>
  <c r="C2244"/>
  <c r="B2244"/>
  <c r="D2243"/>
  <c r="C2243"/>
  <c r="B2243"/>
  <c r="D2242"/>
  <c r="C2242"/>
  <c r="B2242"/>
  <c r="D2241"/>
  <c r="C2241"/>
  <c r="B2241"/>
  <c r="D2240"/>
  <c r="C2240"/>
  <c r="B2240"/>
  <c r="D2239"/>
  <c r="C2239"/>
  <c r="B2239"/>
  <c r="D2238"/>
  <c r="C2238"/>
  <c r="B2238"/>
  <c r="D2237"/>
  <c r="C2237"/>
  <c r="B2237"/>
  <c r="D2236"/>
  <c r="C2236"/>
  <c r="B2236"/>
  <c r="D2235"/>
  <c r="C2235"/>
  <c r="B2235"/>
  <c r="D2234"/>
  <c r="C2234"/>
  <c r="B2234"/>
  <c r="D2233"/>
  <c r="C2233"/>
  <c r="B2233"/>
  <c r="D2232"/>
  <c r="C2232"/>
  <c r="B2232"/>
  <c r="D2231"/>
  <c r="C2231"/>
  <c r="B2231"/>
  <c r="D2230"/>
  <c r="C2230"/>
  <c r="B2230"/>
  <c r="D2229"/>
  <c r="C2229"/>
  <c r="B2229"/>
  <c r="D2228"/>
  <c r="C2228"/>
  <c r="B2228"/>
  <c r="D2227"/>
  <c r="C2227"/>
  <c r="B2227"/>
  <c r="D2226"/>
  <c r="C2226"/>
  <c r="B2226"/>
  <c r="D2225"/>
  <c r="C2225"/>
  <c r="B2225"/>
  <c r="D2224"/>
  <c r="C2224"/>
  <c r="B2224"/>
  <c r="D2223"/>
  <c r="C2223"/>
  <c r="B2223"/>
  <c r="D2222"/>
  <c r="C2222"/>
  <c r="B2222"/>
  <c r="D2221"/>
  <c r="C2221"/>
  <c r="B2221"/>
  <c r="D2220"/>
  <c r="C2220"/>
  <c r="B2220"/>
  <c r="D2219"/>
  <c r="C2219"/>
  <c r="B2219"/>
  <c r="D2218"/>
  <c r="C2218"/>
  <c r="B2218"/>
  <c r="D2217"/>
  <c r="C2217"/>
  <c r="B2217"/>
  <c r="D2216"/>
  <c r="C2216"/>
  <c r="B2216"/>
  <c r="D2215"/>
  <c r="C2215"/>
  <c r="B2215"/>
  <c r="D2214"/>
  <c r="C2214"/>
  <c r="B2214"/>
  <c r="D2213"/>
  <c r="C2213"/>
  <c r="B2213"/>
  <c r="D2212"/>
  <c r="C2212"/>
  <c r="B2212"/>
  <c r="D2211"/>
  <c r="C2211"/>
  <c r="B2211"/>
  <c r="D2210"/>
  <c r="C2210"/>
  <c r="B2210"/>
  <c r="D2209"/>
  <c r="C2209"/>
  <c r="B2209"/>
  <c r="D2208"/>
  <c r="C2208"/>
  <c r="B2208"/>
  <c r="D2207"/>
  <c r="C2207"/>
  <c r="B2207"/>
  <c r="D2206"/>
  <c r="C2206"/>
  <c r="B2206"/>
  <c r="D2205"/>
  <c r="C2205"/>
  <c r="B2205"/>
  <c r="D2204"/>
  <c r="C2204"/>
  <c r="B2204"/>
  <c r="D2203"/>
  <c r="C2203"/>
  <c r="B2203"/>
  <c r="D2202"/>
  <c r="C2202"/>
  <c r="B2202"/>
  <c r="D2201"/>
  <c r="C2201"/>
  <c r="B2201"/>
  <c r="D2200"/>
  <c r="C2200"/>
  <c r="B2200"/>
  <c r="D2199"/>
  <c r="C2199"/>
  <c r="B2199"/>
  <c r="D2198"/>
  <c r="C2198"/>
  <c r="B2198"/>
  <c r="D2197"/>
  <c r="C2197"/>
  <c r="B2197"/>
  <c r="D2196"/>
  <c r="C2196"/>
  <c r="B2196"/>
  <c r="D2195"/>
  <c r="C2195"/>
  <c r="B2195"/>
  <c r="D2194"/>
  <c r="C2194"/>
  <c r="B2194"/>
  <c r="D2193"/>
  <c r="C2193"/>
  <c r="B2193"/>
  <c r="D2192"/>
  <c r="C2192"/>
  <c r="B2192"/>
  <c r="D2191"/>
  <c r="C2191"/>
  <c r="B2191"/>
  <c r="D2190"/>
  <c r="C2190"/>
  <c r="B2190"/>
  <c r="D2189"/>
  <c r="C2189"/>
  <c r="B2189"/>
  <c r="D2188"/>
  <c r="C2188"/>
  <c r="B2188"/>
  <c r="D2187"/>
  <c r="C2187"/>
  <c r="B2187"/>
  <c r="D2186"/>
  <c r="C2186"/>
  <c r="B2186"/>
  <c r="D2185"/>
  <c r="C2185"/>
  <c r="B2185"/>
  <c r="D2184"/>
  <c r="C2184"/>
  <c r="B2184"/>
  <c r="D2183"/>
  <c r="C2183"/>
  <c r="B2183"/>
  <c r="D2182"/>
  <c r="C2182"/>
  <c r="B2182"/>
  <c r="D2181"/>
  <c r="C2181"/>
  <c r="B2181"/>
  <c r="D2180"/>
  <c r="C2180"/>
  <c r="B2180"/>
  <c r="D2179"/>
  <c r="C2179"/>
  <c r="B2179"/>
  <c r="D2178"/>
  <c r="C2178"/>
  <c r="B2178"/>
  <c r="D2177"/>
  <c r="C2177"/>
  <c r="B2177"/>
  <c r="D2176"/>
  <c r="C2176"/>
  <c r="B2176"/>
  <c r="D2175"/>
  <c r="C2175"/>
  <c r="B2175"/>
  <c r="D2174"/>
  <c r="C2174"/>
  <c r="B2174"/>
  <c r="D2173"/>
  <c r="C2173"/>
  <c r="B2173"/>
  <c r="D2172"/>
  <c r="C2172"/>
  <c r="B2172"/>
  <c r="D2171"/>
  <c r="C2171"/>
  <c r="B2171"/>
  <c r="D2170"/>
  <c r="C2170"/>
  <c r="B2170"/>
  <c r="D2169"/>
  <c r="C2169"/>
  <c r="B2169"/>
  <c r="D2168"/>
  <c r="C2168"/>
  <c r="B2168"/>
  <c r="D2167"/>
  <c r="C2167"/>
  <c r="B2167"/>
  <c r="D2166"/>
  <c r="C2166"/>
  <c r="B2166"/>
  <c r="D2165"/>
  <c r="C2165"/>
  <c r="B2165"/>
  <c r="D2164"/>
  <c r="C2164"/>
  <c r="B2164"/>
  <c r="D2163"/>
  <c r="C2163"/>
  <c r="B2163"/>
  <c r="D2162"/>
  <c r="C2162"/>
  <c r="B2162"/>
  <c r="D2161"/>
  <c r="C2161"/>
  <c r="B2161"/>
  <c r="D2160"/>
  <c r="C2160"/>
  <c r="B2160"/>
  <c r="D2159"/>
  <c r="C2159"/>
  <c r="B2159"/>
  <c r="D2158"/>
  <c r="C2158"/>
  <c r="B2158"/>
  <c r="D2157"/>
  <c r="C2157"/>
  <c r="B2157"/>
  <c r="D2156"/>
  <c r="C2156"/>
  <c r="B2156"/>
  <c r="D2155"/>
  <c r="C2155"/>
  <c r="B2155"/>
  <c r="D2154"/>
  <c r="C2154"/>
  <c r="B2154"/>
  <c r="D2153"/>
  <c r="C2153"/>
  <c r="B2153"/>
  <c r="D2152"/>
  <c r="C2152"/>
  <c r="B2152"/>
  <c r="D2151"/>
  <c r="C2151"/>
  <c r="B2151"/>
  <c r="D2150"/>
  <c r="C2150"/>
  <c r="B2150"/>
  <c r="D2149"/>
  <c r="C2149"/>
  <c r="B2149"/>
  <c r="D2148"/>
  <c r="C2148"/>
  <c r="B2148"/>
  <c r="D2147"/>
  <c r="C2147"/>
  <c r="B2147"/>
  <c r="D2146"/>
  <c r="C2146"/>
  <c r="B2146"/>
  <c r="D2145"/>
  <c r="C2145"/>
  <c r="B2145"/>
  <c r="D2144"/>
  <c r="C2144"/>
  <c r="B2144"/>
  <c r="D2143"/>
  <c r="C2143"/>
  <c r="B2143"/>
  <c r="D2142"/>
  <c r="C2142"/>
  <c r="B2142"/>
  <c r="D2141"/>
  <c r="C2141"/>
  <c r="B2141"/>
  <c r="D2140"/>
  <c r="C2140"/>
  <c r="B2140"/>
  <c r="D2139"/>
  <c r="C2139"/>
  <c r="B2139"/>
  <c r="D2138"/>
  <c r="C2138"/>
  <c r="B2138"/>
  <c r="D2137"/>
  <c r="C2137"/>
  <c r="B2137"/>
  <c r="D2136"/>
  <c r="C2136"/>
  <c r="B2136"/>
  <c r="D2135"/>
  <c r="C2135"/>
  <c r="B2135"/>
  <c r="D2134"/>
  <c r="C2134"/>
  <c r="B2134"/>
  <c r="D2133"/>
  <c r="C2133"/>
  <c r="B2133"/>
  <c r="D2132"/>
  <c r="C2132"/>
  <c r="B2132"/>
  <c r="D2131"/>
  <c r="C2131"/>
  <c r="B2131"/>
  <c r="D2130"/>
  <c r="C2130"/>
  <c r="B2130"/>
  <c r="D2129"/>
  <c r="C2129"/>
  <c r="B2129"/>
  <c r="D2128"/>
  <c r="C2128"/>
  <c r="B2128"/>
  <c r="D2127"/>
  <c r="C2127"/>
  <c r="B2127"/>
  <c r="D2126"/>
  <c r="C2126"/>
  <c r="B2126"/>
  <c r="D2125"/>
  <c r="C2125"/>
  <c r="B2125"/>
  <c r="D2124"/>
  <c r="C2124"/>
  <c r="B2124"/>
  <c r="D2123"/>
  <c r="C2123"/>
  <c r="B2123"/>
  <c r="D2122"/>
  <c r="C2122"/>
  <c r="B2122"/>
  <c r="D2121"/>
  <c r="C2121"/>
  <c r="B2121"/>
  <c r="D2120"/>
  <c r="C2120"/>
  <c r="B2120"/>
  <c r="D2119"/>
  <c r="C2119"/>
  <c r="B2119"/>
  <c r="D2118"/>
  <c r="C2118"/>
  <c r="B2118"/>
  <c r="D2117"/>
  <c r="C2117"/>
  <c r="B2117"/>
  <c r="D2116"/>
  <c r="C2116"/>
  <c r="B2116"/>
  <c r="D2115"/>
  <c r="C2115"/>
  <c r="B2115"/>
  <c r="D2114"/>
  <c r="C2114"/>
  <c r="B2114"/>
  <c r="D2113"/>
  <c r="C2113"/>
  <c r="B2113"/>
  <c r="D2112"/>
  <c r="C2112"/>
  <c r="B2112"/>
  <c r="D2111"/>
  <c r="C2111"/>
  <c r="B2111"/>
  <c r="D2110"/>
  <c r="C2110"/>
  <c r="B2110"/>
  <c r="D2109"/>
  <c r="C2109"/>
  <c r="B2109"/>
  <c r="D2108"/>
  <c r="C2108"/>
  <c r="B2108"/>
  <c r="D2107"/>
  <c r="C2107"/>
  <c r="B2107"/>
  <c r="D2106"/>
  <c r="C2106"/>
  <c r="B2106"/>
  <c r="D2105"/>
  <c r="C2105"/>
  <c r="B2105"/>
  <c r="D2104"/>
  <c r="C2104"/>
  <c r="B2104"/>
  <c r="D2103"/>
  <c r="C2103"/>
  <c r="B2103"/>
  <c r="D2102"/>
  <c r="C2102"/>
  <c r="B2102"/>
  <c r="D2101"/>
  <c r="C2101"/>
  <c r="B2101"/>
  <c r="D2100"/>
  <c r="C2100"/>
  <c r="B2100"/>
  <c r="D2099"/>
  <c r="C2099"/>
  <c r="B2099"/>
  <c r="D2098"/>
  <c r="C2098"/>
  <c r="B2098"/>
  <c r="D2097"/>
  <c r="C2097"/>
  <c r="B2097"/>
  <c r="D2096"/>
  <c r="C2096"/>
  <c r="B2096"/>
  <c r="D2095"/>
  <c r="C2095"/>
  <c r="B2095"/>
  <c r="D2094"/>
  <c r="C2094"/>
  <c r="B2094"/>
  <c r="D2093"/>
  <c r="C2093"/>
  <c r="B2093"/>
  <c r="D2092"/>
  <c r="C2092"/>
  <c r="B2092"/>
  <c r="D2091"/>
  <c r="C2091"/>
  <c r="B2091"/>
  <c r="D2090"/>
  <c r="C2090"/>
  <c r="B2090"/>
  <c r="D2089"/>
  <c r="C2089"/>
  <c r="B2089"/>
  <c r="D2088"/>
  <c r="C2088"/>
  <c r="B2088"/>
  <c r="D2087"/>
  <c r="C2087"/>
  <c r="B2087"/>
  <c r="D2086"/>
  <c r="C2086"/>
  <c r="B2086"/>
  <c r="D2085"/>
  <c r="C2085"/>
  <c r="B2085"/>
  <c r="D2084"/>
  <c r="C2084"/>
  <c r="B2084"/>
  <c r="D2083"/>
  <c r="C2083"/>
  <c r="B2083"/>
  <c r="D2082"/>
  <c r="C2082"/>
  <c r="B2082"/>
  <c r="D2081"/>
  <c r="C2081"/>
  <c r="B2081"/>
  <c r="D2080"/>
  <c r="C2080"/>
  <c r="B2080"/>
  <c r="D2079"/>
  <c r="C2079"/>
  <c r="B2079"/>
  <c r="D2078"/>
  <c r="C2078"/>
  <c r="B2078"/>
  <c r="D2077"/>
  <c r="C2077"/>
  <c r="B2077"/>
  <c r="D2076"/>
  <c r="C2076"/>
  <c r="B2076"/>
  <c r="D2075"/>
  <c r="C2075"/>
  <c r="B2075"/>
  <c r="D2074"/>
  <c r="C2074"/>
  <c r="B2074"/>
  <c r="D2073"/>
  <c r="C2073"/>
  <c r="B2073"/>
  <c r="D2072"/>
  <c r="C2072"/>
  <c r="B2072"/>
  <c r="D2071"/>
  <c r="C2071"/>
  <c r="B2071"/>
  <c r="D2070"/>
  <c r="C2070"/>
  <c r="B2070"/>
  <c r="D2069"/>
  <c r="C2069"/>
  <c r="B2069"/>
  <c r="D2068"/>
  <c r="C2068"/>
  <c r="B2068"/>
  <c r="D2067"/>
  <c r="C2067"/>
  <c r="B2067"/>
  <c r="D2066"/>
  <c r="C2066"/>
  <c r="B2066"/>
  <c r="D2065"/>
  <c r="C2065"/>
  <c r="B2065"/>
  <c r="D2064"/>
  <c r="C2064"/>
  <c r="B2064"/>
  <c r="D2063"/>
  <c r="C2063"/>
  <c r="B2063"/>
  <c r="D2062"/>
  <c r="C2062"/>
  <c r="B2062"/>
  <c r="D2061"/>
  <c r="C2061"/>
  <c r="B2061"/>
  <c r="D2060"/>
  <c r="C2060"/>
  <c r="B2060"/>
  <c r="D2059"/>
  <c r="C2059"/>
  <c r="B2059"/>
  <c r="D2058"/>
  <c r="C2058"/>
  <c r="B2058"/>
  <c r="D2057"/>
  <c r="C2057"/>
  <c r="B2057"/>
  <c r="D2056"/>
  <c r="C2056"/>
  <c r="B2056"/>
  <c r="D2055"/>
  <c r="C2055"/>
  <c r="B2055"/>
  <c r="D2054"/>
  <c r="C2054"/>
  <c r="B2054"/>
  <c r="D2053"/>
  <c r="C2053"/>
  <c r="B2053"/>
  <c r="D2052"/>
  <c r="C2052"/>
  <c r="B2052"/>
  <c r="D2051"/>
  <c r="C2051"/>
  <c r="B2051"/>
  <c r="D2050"/>
  <c r="C2050"/>
  <c r="B2050"/>
  <c r="D2049"/>
  <c r="C2049"/>
  <c r="B2049"/>
  <c r="D2048"/>
  <c r="C2048"/>
  <c r="B2048"/>
  <c r="D2047"/>
  <c r="C2047"/>
  <c r="B2047"/>
  <c r="D2046"/>
  <c r="C2046"/>
  <c r="B2046"/>
  <c r="D2045"/>
  <c r="C2045"/>
  <c r="B2045"/>
  <c r="D2044"/>
  <c r="C2044"/>
  <c r="B2044"/>
  <c r="D2043"/>
  <c r="C2043"/>
  <c r="B2043"/>
  <c r="D2042"/>
  <c r="C2042"/>
  <c r="B2042"/>
  <c r="D2041"/>
  <c r="C2041"/>
  <c r="B2041"/>
  <c r="D2040"/>
  <c r="C2040"/>
  <c r="B2040"/>
  <c r="D2039"/>
  <c r="C2039"/>
  <c r="B2039"/>
  <c r="D2038"/>
  <c r="C2038"/>
  <c r="B2038"/>
  <c r="D2037"/>
  <c r="C2037"/>
  <c r="B2037"/>
  <c r="D2036"/>
  <c r="C2036"/>
  <c r="B2036"/>
  <c r="D2035"/>
  <c r="C2035"/>
  <c r="B2035"/>
  <c r="D2034"/>
  <c r="C2034"/>
  <c r="B2034"/>
  <c r="D2033"/>
  <c r="C2033"/>
  <c r="B2033"/>
  <c r="D2032"/>
  <c r="C2032"/>
  <c r="B2032"/>
  <c r="D2031"/>
  <c r="C2031"/>
  <c r="B2031"/>
  <c r="D2030"/>
  <c r="C2030"/>
  <c r="B2030"/>
  <c r="D2029"/>
  <c r="C2029"/>
  <c r="B2029"/>
  <c r="D2028"/>
  <c r="C2028"/>
  <c r="B2028"/>
  <c r="D2027"/>
  <c r="C2027"/>
  <c r="B2027"/>
  <c r="D2026"/>
  <c r="C2026"/>
  <c r="B2026"/>
  <c r="D2025"/>
  <c r="C2025"/>
  <c r="B2025"/>
  <c r="D2024"/>
  <c r="C2024"/>
  <c r="B2024"/>
  <c r="D2023"/>
  <c r="C2023"/>
  <c r="B2023"/>
  <c r="D2022"/>
  <c r="C2022"/>
  <c r="B2022"/>
  <c r="D2021"/>
  <c r="C2021"/>
  <c r="B2021"/>
  <c r="D2020"/>
  <c r="C2020"/>
  <c r="B2020"/>
  <c r="D2019"/>
  <c r="C2019"/>
  <c r="B2019"/>
  <c r="D2018"/>
  <c r="C2018"/>
  <c r="B2018"/>
  <c r="D2017"/>
  <c r="C2017"/>
  <c r="B2017"/>
  <c r="D2016"/>
  <c r="C2016"/>
  <c r="B2016"/>
  <c r="D2015"/>
  <c r="C2015"/>
  <c r="B2015"/>
  <c r="D2014"/>
  <c r="C2014"/>
  <c r="B2014"/>
  <c r="D2013"/>
  <c r="C2013"/>
  <c r="B2013"/>
  <c r="D2012"/>
  <c r="C2012"/>
  <c r="B2012"/>
  <c r="D2011"/>
  <c r="C2011"/>
  <c r="B2011"/>
  <c r="D2010"/>
  <c r="C2010"/>
  <c r="B2010"/>
  <c r="D2009"/>
  <c r="C2009"/>
  <c r="B2009"/>
  <c r="D2008"/>
  <c r="C2008"/>
  <c r="B2008"/>
  <c r="D2007"/>
  <c r="C2007"/>
  <c r="B2007"/>
  <c r="D2006"/>
  <c r="C2006"/>
  <c r="B2006"/>
  <c r="D2005"/>
  <c r="C2005"/>
  <c r="B2005"/>
  <c r="D2004"/>
  <c r="C2004"/>
  <c r="B2004"/>
  <c r="D2003"/>
  <c r="C2003"/>
  <c r="B2003"/>
  <c r="D2002"/>
  <c r="C2002"/>
  <c r="B2002"/>
  <c r="D2001"/>
  <c r="C2001"/>
  <c r="B2001"/>
  <c r="D2000"/>
  <c r="C2000"/>
  <c r="B2000"/>
  <c r="D1999"/>
  <c r="C1999"/>
  <c r="B1999"/>
  <c r="D1998"/>
  <c r="C1998"/>
  <c r="B1998"/>
  <c r="D1997"/>
  <c r="C1997"/>
  <c r="B1997"/>
  <c r="D1996"/>
  <c r="C1996"/>
  <c r="B1996"/>
  <c r="D1995"/>
  <c r="C1995"/>
  <c r="B1995"/>
  <c r="D1994"/>
  <c r="C1994"/>
  <c r="B1994"/>
  <c r="D1993"/>
  <c r="C1993"/>
  <c r="B1993"/>
  <c r="D1992"/>
  <c r="C1992"/>
  <c r="B1992"/>
  <c r="D1991"/>
  <c r="C1991"/>
  <c r="B1991"/>
  <c r="D1990"/>
  <c r="C1990"/>
  <c r="B1990"/>
  <c r="D1989"/>
  <c r="C1989"/>
  <c r="B1989"/>
  <c r="D1988"/>
  <c r="C1988"/>
  <c r="B1988"/>
  <c r="D1987"/>
  <c r="C1987"/>
  <c r="B1987"/>
  <c r="D1986"/>
  <c r="C1986"/>
  <c r="B1986"/>
  <c r="D1985"/>
  <c r="C1985"/>
  <c r="B1985"/>
  <c r="D1984"/>
  <c r="C1984"/>
  <c r="B1984"/>
  <c r="D1983"/>
  <c r="C1983"/>
  <c r="B1983"/>
  <c r="D1982"/>
  <c r="C1982"/>
  <c r="B1982"/>
  <c r="D1981"/>
  <c r="C1981"/>
  <c r="B1981"/>
  <c r="D1980"/>
  <c r="C1980"/>
  <c r="B1980"/>
  <c r="D1979"/>
  <c r="C1979"/>
  <c r="B1979"/>
  <c r="D1978"/>
  <c r="C1978"/>
  <c r="B1978"/>
  <c r="D1977"/>
  <c r="C1977"/>
  <c r="B1977"/>
  <c r="D1976"/>
  <c r="C1976"/>
  <c r="B1976"/>
  <c r="D1975"/>
  <c r="C1975"/>
  <c r="B1975"/>
  <c r="D1974"/>
  <c r="C1974"/>
  <c r="B1974"/>
  <c r="D1973"/>
  <c r="C1973"/>
  <c r="B1973"/>
  <c r="D1972"/>
  <c r="C1972"/>
  <c r="B1972"/>
  <c r="D1971"/>
  <c r="C1971"/>
  <c r="B1971"/>
  <c r="D1970"/>
  <c r="C1970"/>
  <c r="B1970"/>
  <c r="D1969"/>
  <c r="C1969"/>
  <c r="B1969"/>
  <c r="D1968"/>
  <c r="C1968"/>
  <c r="B1968"/>
  <c r="D1967"/>
  <c r="C1967"/>
  <c r="B1967"/>
  <c r="D1966"/>
  <c r="C1966"/>
  <c r="B1966"/>
  <c r="D1965"/>
  <c r="C1965"/>
  <c r="B1965"/>
  <c r="D1964"/>
  <c r="C1964"/>
  <c r="B1964"/>
  <c r="D1963"/>
  <c r="C1963"/>
  <c r="B1963"/>
  <c r="D1962"/>
  <c r="C1962"/>
  <c r="B1962"/>
  <c r="D1961"/>
  <c r="C1961"/>
  <c r="B1961"/>
  <c r="D1960"/>
  <c r="C1960"/>
  <c r="B1960"/>
  <c r="D1959"/>
  <c r="C1959"/>
  <c r="B1959"/>
  <c r="D1958"/>
  <c r="C1958"/>
  <c r="B1958"/>
  <c r="D1957"/>
  <c r="C1957"/>
  <c r="B1957"/>
  <c r="D1956"/>
  <c r="C1956"/>
  <c r="B1956"/>
  <c r="D1955"/>
  <c r="C1955"/>
  <c r="B1955"/>
  <c r="D1954"/>
  <c r="C1954"/>
  <c r="B1954"/>
  <c r="D1953"/>
  <c r="C1953"/>
  <c r="B1953"/>
  <c r="D1952"/>
  <c r="C1952"/>
  <c r="B1952"/>
  <c r="D1951"/>
  <c r="C1951"/>
  <c r="B1951"/>
  <c r="D1950"/>
  <c r="C1950"/>
  <c r="B1950"/>
  <c r="D1949"/>
  <c r="C1949"/>
  <c r="B1949"/>
  <c r="D1948"/>
  <c r="C1948"/>
  <c r="B1948"/>
  <c r="D1947"/>
  <c r="C1947"/>
  <c r="B1947"/>
  <c r="D1946"/>
  <c r="C1946"/>
  <c r="B1946"/>
  <c r="D1945"/>
  <c r="C1945"/>
  <c r="B1945"/>
  <c r="D1944"/>
  <c r="C1944"/>
  <c r="B1944"/>
  <c r="D1943"/>
  <c r="C1943"/>
  <c r="B1943"/>
  <c r="D1942"/>
  <c r="C1942"/>
  <c r="B1942"/>
  <c r="D1941"/>
  <c r="C1941"/>
  <c r="B1941"/>
  <c r="D1940"/>
  <c r="C1940"/>
  <c r="B1940"/>
  <c r="D1939"/>
  <c r="C1939"/>
  <c r="B1939"/>
  <c r="D1938"/>
  <c r="C1938"/>
  <c r="B1938"/>
  <c r="D1937"/>
  <c r="C1937"/>
  <c r="B1937"/>
  <c r="D1936"/>
  <c r="C1936"/>
  <c r="B1936"/>
  <c r="D1935"/>
  <c r="C1935"/>
  <c r="B1935"/>
  <c r="D1934"/>
  <c r="C1934"/>
  <c r="B1934"/>
  <c r="D1933"/>
  <c r="C1933"/>
  <c r="B1933"/>
  <c r="D1932"/>
  <c r="C1932"/>
  <c r="B1932"/>
  <c r="D1931"/>
  <c r="C1931"/>
  <c r="B1931"/>
  <c r="D1930"/>
  <c r="C1930"/>
  <c r="B1930"/>
  <c r="D1929"/>
  <c r="C1929"/>
  <c r="B1929"/>
  <c r="D1928"/>
  <c r="C1928"/>
  <c r="B1928"/>
  <c r="D1927"/>
  <c r="C1927"/>
  <c r="B1927"/>
  <c r="D1926"/>
  <c r="C1926"/>
  <c r="B1926"/>
  <c r="D1925"/>
  <c r="C1925"/>
  <c r="B1925"/>
  <c r="D1924"/>
  <c r="C1924"/>
  <c r="B1924"/>
  <c r="D1923"/>
  <c r="C1923"/>
  <c r="B1923"/>
  <c r="D1922"/>
  <c r="C1922"/>
  <c r="B1922"/>
  <c r="D1921"/>
  <c r="C1921"/>
  <c r="B1921"/>
  <c r="D1920"/>
  <c r="C1920"/>
  <c r="B1920"/>
  <c r="D1919"/>
  <c r="C1919"/>
  <c r="B1919"/>
  <c r="D1918"/>
  <c r="C1918"/>
  <c r="B1918"/>
  <c r="D1917"/>
  <c r="C1917"/>
  <c r="B1917"/>
  <c r="D1916"/>
  <c r="C1916"/>
  <c r="B1916"/>
  <c r="D1915"/>
  <c r="C1915"/>
  <c r="B1915"/>
  <c r="D1914"/>
  <c r="C1914"/>
  <c r="B1914"/>
  <c r="D1913"/>
  <c r="C1913"/>
  <c r="B1913"/>
  <c r="D1912"/>
  <c r="C1912"/>
  <c r="B1912"/>
  <c r="D1911"/>
  <c r="C1911"/>
  <c r="B1911"/>
  <c r="D1910"/>
  <c r="C1910"/>
  <c r="B1910"/>
  <c r="D1909"/>
  <c r="C1909"/>
  <c r="B1909"/>
  <c r="D1908"/>
  <c r="C1908"/>
  <c r="B1908"/>
  <c r="D1907"/>
  <c r="C1907"/>
  <c r="B1907"/>
  <c r="D1906"/>
  <c r="C1906"/>
  <c r="B1906"/>
  <c r="D1905"/>
  <c r="C1905"/>
  <c r="B1905"/>
  <c r="D1904"/>
  <c r="C1904"/>
  <c r="B1904"/>
  <c r="D1903"/>
  <c r="C1903"/>
  <c r="B1903"/>
  <c r="D1902"/>
  <c r="C1902"/>
  <c r="B1902"/>
  <c r="D1901"/>
  <c r="C1901"/>
  <c r="B1901"/>
  <c r="D1900"/>
  <c r="C1900"/>
  <c r="B1900"/>
  <c r="D1899"/>
  <c r="C1899"/>
  <c r="B1899"/>
  <c r="D1898"/>
  <c r="C1898"/>
  <c r="B1898"/>
  <c r="D1897"/>
  <c r="C1897"/>
  <c r="B1897"/>
  <c r="D1896"/>
  <c r="C1896"/>
  <c r="B1896"/>
  <c r="D1895"/>
  <c r="C1895"/>
  <c r="B1895"/>
  <c r="D1894"/>
  <c r="C1894"/>
  <c r="B1894"/>
  <c r="D1893"/>
  <c r="C1893"/>
  <c r="B1893"/>
  <c r="D1892"/>
  <c r="C1892"/>
  <c r="B1892"/>
  <c r="D1891"/>
  <c r="C1891"/>
  <c r="B1891"/>
  <c r="D1890"/>
  <c r="C1890"/>
  <c r="B1890"/>
  <c r="D1889"/>
  <c r="C1889"/>
  <c r="B1889"/>
  <c r="D1888"/>
  <c r="C1888"/>
  <c r="B1888"/>
  <c r="D1887"/>
  <c r="C1887"/>
  <c r="B1887"/>
  <c r="D1886"/>
  <c r="C1886"/>
  <c r="B1886"/>
  <c r="D1885"/>
  <c r="C1885"/>
  <c r="B1885"/>
  <c r="D1884"/>
  <c r="C1884"/>
  <c r="B1884"/>
  <c r="D1883"/>
  <c r="C1883"/>
  <c r="B1883"/>
  <c r="D1882"/>
  <c r="C1882"/>
  <c r="B1882"/>
  <c r="D1881"/>
  <c r="C1881"/>
  <c r="B1881"/>
  <c r="D1880"/>
  <c r="C1880"/>
  <c r="B1880"/>
  <c r="D1879"/>
  <c r="C1879"/>
  <c r="B1879"/>
  <c r="D1878"/>
  <c r="C1878"/>
  <c r="B1878"/>
  <c r="D1877"/>
  <c r="C1877"/>
  <c r="B1877"/>
  <c r="D1876"/>
  <c r="C1876"/>
  <c r="B1876"/>
  <c r="D1875"/>
  <c r="C1875"/>
  <c r="B1875"/>
  <c r="D1874"/>
  <c r="C1874"/>
  <c r="B1874"/>
  <c r="D1873"/>
  <c r="C1873"/>
  <c r="B1873"/>
  <c r="D1872"/>
  <c r="C1872"/>
  <c r="B1872"/>
  <c r="D1871"/>
  <c r="C1871"/>
  <c r="B1871"/>
  <c r="D1870"/>
  <c r="C1870"/>
  <c r="B1870"/>
  <c r="D1869"/>
  <c r="C1869"/>
  <c r="B1869"/>
  <c r="D1868"/>
  <c r="C1868"/>
  <c r="B1868"/>
  <c r="D1867"/>
  <c r="C1867"/>
  <c r="B1867"/>
  <c r="D1866"/>
  <c r="C1866"/>
  <c r="B1866"/>
  <c r="D1865"/>
  <c r="C1865"/>
  <c r="B1865"/>
  <c r="D1864"/>
  <c r="C1864"/>
  <c r="B1864"/>
  <c r="D1863"/>
  <c r="C1863"/>
  <c r="B1863"/>
  <c r="D1862"/>
  <c r="C1862"/>
  <c r="B1862"/>
  <c r="D1861"/>
  <c r="C1861"/>
  <c r="B1861"/>
  <c r="D1860"/>
  <c r="C1860"/>
  <c r="B1860"/>
  <c r="D1859"/>
  <c r="C1859"/>
  <c r="B1859"/>
  <c r="D1858"/>
  <c r="C1858"/>
  <c r="B1858"/>
  <c r="D1857"/>
  <c r="C1857"/>
  <c r="B1857"/>
  <c r="D1856"/>
  <c r="C1856"/>
  <c r="B1856"/>
  <c r="D1855"/>
  <c r="C1855"/>
  <c r="B1855"/>
  <c r="D1854"/>
  <c r="C1854"/>
  <c r="B1854"/>
  <c r="D1853"/>
  <c r="C1853"/>
  <c r="B1853"/>
  <c r="D1852"/>
  <c r="C1852"/>
  <c r="B1852"/>
  <c r="D1851"/>
  <c r="C1851"/>
  <c r="B1851"/>
  <c r="D1850"/>
  <c r="C1850"/>
  <c r="B1850"/>
  <c r="D1849"/>
  <c r="C1849"/>
  <c r="B1849"/>
  <c r="D1848"/>
  <c r="C1848"/>
  <c r="B1848"/>
  <c r="D1847"/>
  <c r="C1847"/>
  <c r="B1847"/>
  <c r="D1846"/>
  <c r="C1846"/>
  <c r="B1846"/>
  <c r="D1845"/>
  <c r="C1845"/>
  <c r="B1845"/>
  <c r="D1844"/>
  <c r="C1844"/>
  <c r="B1844"/>
  <c r="D1843"/>
  <c r="C1843"/>
  <c r="B1843"/>
  <c r="D1842"/>
  <c r="C1842"/>
  <c r="B1842"/>
  <c r="D1841"/>
  <c r="C1841"/>
  <c r="B1841"/>
  <c r="D1840"/>
  <c r="C1840"/>
  <c r="B1840"/>
  <c r="D1839"/>
  <c r="C1839"/>
  <c r="B1839"/>
  <c r="D1838"/>
  <c r="C1838"/>
  <c r="B1838"/>
  <c r="D1837"/>
  <c r="C1837"/>
  <c r="B1837"/>
  <c r="D1836"/>
  <c r="C1836"/>
  <c r="B1836"/>
  <c r="D1835"/>
  <c r="C1835"/>
  <c r="B1835"/>
  <c r="D1834"/>
  <c r="C1834"/>
  <c r="B1834"/>
  <c r="D1833"/>
  <c r="C1833"/>
  <c r="B1833"/>
  <c r="D1832"/>
  <c r="C1832"/>
  <c r="B1832"/>
  <c r="D1831"/>
  <c r="C1831"/>
  <c r="B1831"/>
  <c r="D1830"/>
  <c r="C1830"/>
  <c r="B1830"/>
  <c r="D1829"/>
  <c r="C1829"/>
  <c r="B1829"/>
  <c r="D1828"/>
  <c r="C1828"/>
  <c r="B1828"/>
  <c r="D1827"/>
  <c r="C1827"/>
  <c r="B1827"/>
  <c r="D1826"/>
  <c r="C1826"/>
  <c r="B1826"/>
  <c r="D1825"/>
  <c r="C1825"/>
  <c r="B1825"/>
  <c r="D1824"/>
  <c r="C1824"/>
  <c r="B1824"/>
  <c r="D1823"/>
  <c r="C1823"/>
  <c r="B1823"/>
  <c r="D1822"/>
  <c r="C1822"/>
  <c r="B1822"/>
  <c r="D1821"/>
  <c r="C1821"/>
  <c r="B1821"/>
  <c r="D1820"/>
  <c r="C1820"/>
  <c r="B1820"/>
  <c r="D1819"/>
  <c r="C1819"/>
  <c r="B1819"/>
  <c r="D1818"/>
  <c r="C1818"/>
  <c r="B1818"/>
  <c r="D1817"/>
  <c r="C1817"/>
  <c r="B1817"/>
  <c r="D1816"/>
  <c r="C1816"/>
  <c r="B1816"/>
  <c r="D1815"/>
  <c r="C1815"/>
  <c r="B1815"/>
  <c r="D1814"/>
  <c r="C1814"/>
  <c r="B1814"/>
  <c r="D1813"/>
  <c r="C1813"/>
  <c r="B1813"/>
  <c r="D1812"/>
  <c r="C1812"/>
  <c r="B1812"/>
  <c r="D1811"/>
  <c r="C1811"/>
  <c r="B1811"/>
  <c r="D1810"/>
  <c r="C1810"/>
  <c r="B1810"/>
  <c r="D1809"/>
  <c r="C1809"/>
  <c r="B1809"/>
  <c r="D1808"/>
  <c r="C1808"/>
  <c r="B1808"/>
  <c r="D1807"/>
  <c r="C1807"/>
  <c r="B1807"/>
  <c r="D1806"/>
  <c r="C1806"/>
  <c r="B1806"/>
  <c r="D1805"/>
  <c r="C1805"/>
  <c r="B1805"/>
  <c r="D1804"/>
  <c r="C1804"/>
  <c r="B1804"/>
  <c r="D1803"/>
  <c r="C1803"/>
  <c r="B1803"/>
  <c r="D1802"/>
  <c r="C1802"/>
  <c r="B1802"/>
  <c r="D1801"/>
  <c r="C1801"/>
  <c r="B1801"/>
  <c r="D1800"/>
  <c r="C1800"/>
  <c r="B1800"/>
  <c r="D1799"/>
  <c r="C1799"/>
  <c r="B1799"/>
  <c r="D1798"/>
  <c r="C1798"/>
  <c r="B1798"/>
  <c r="D1797"/>
  <c r="C1797"/>
  <c r="B1797"/>
  <c r="D1796"/>
  <c r="C1796"/>
  <c r="B1796"/>
  <c r="D1795"/>
  <c r="C1795"/>
  <c r="B1795"/>
  <c r="D1794"/>
  <c r="C1794"/>
  <c r="B1794"/>
  <c r="D1793"/>
  <c r="C1793"/>
  <c r="B1793"/>
  <c r="D1792"/>
  <c r="C1792"/>
  <c r="B1792"/>
  <c r="D1791"/>
  <c r="C1791"/>
  <c r="B1791"/>
  <c r="D1790"/>
  <c r="C1790"/>
  <c r="B1790"/>
  <c r="D1789"/>
  <c r="C1789"/>
  <c r="B1789"/>
  <c r="D1788"/>
  <c r="C1788"/>
  <c r="B1788"/>
  <c r="D1787"/>
  <c r="C1787"/>
  <c r="B1787"/>
  <c r="D1786"/>
  <c r="C1786"/>
  <c r="B1786"/>
  <c r="D1785"/>
  <c r="C1785"/>
  <c r="B1785"/>
  <c r="D1784"/>
  <c r="C1784"/>
  <c r="B1784"/>
  <c r="D1783"/>
  <c r="C1783"/>
  <c r="B1783"/>
  <c r="D1782"/>
  <c r="C1782"/>
  <c r="B1782"/>
  <c r="D1781"/>
  <c r="C1781"/>
  <c r="B1781"/>
  <c r="D1780"/>
  <c r="C1780"/>
  <c r="B1780"/>
  <c r="D1779"/>
  <c r="C1779"/>
  <c r="B1779"/>
  <c r="D1778"/>
  <c r="C1778"/>
  <c r="B1778"/>
  <c r="D1777"/>
  <c r="C1777"/>
  <c r="B1777"/>
  <c r="D1776"/>
  <c r="C1776"/>
  <c r="B1776"/>
  <c r="D1775"/>
  <c r="C1775"/>
  <c r="B1775"/>
  <c r="D1774"/>
  <c r="C1774"/>
  <c r="B1774"/>
  <c r="D1773"/>
  <c r="C1773"/>
  <c r="B1773"/>
  <c r="D1772"/>
  <c r="C1772"/>
  <c r="B1772"/>
  <c r="D1771"/>
  <c r="C1771"/>
  <c r="B1771"/>
  <c r="D1770"/>
  <c r="C1770"/>
  <c r="B1770"/>
  <c r="D1769"/>
  <c r="C1769"/>
  <c r="B1769"/>
  <c r="D1768"/>
  <c r="C1768"/>
  <c r="B1768"/>
  <c r="D1767"/>
  <c r="C1767"/>
  <c r="B1767"/>
  <c r="D1766"/>
  <c r="C1766"/>
  <c r="B1766"/>
  <c r="D1765"/>
  <c r="C1765"/>
  <c r="B1765"/>
  <c r="D1764"/>
  <c r="C1764"/>
  <c r="B1764"/>
  <c r="D1763"/>
  <c r="C1763"/>
  <c r="B1763"/>
  <c r="D1762"/>
  <c r="C1762"/>
  <c r="B1762"/>
  <c r="D1761"/>
  <c r="C1761"/>
  <c r="B1761"/>
  <c r="D1760"/>
  <c r="C1760"/>
  <c r="B1760"/>
  <c r="D1759"/>
  <c r="C1759"/>
  <c r="B1759"/>
  <c r="D1758"/>
  <c r="C1758"/>
  <c r="B1758"/>
  <c r="D1757"/>
  <c r="C1757"/>
  <c r="B1757"/>
  <c r="D1756"/>
  <c r="C1756"/>
  <c r="B1756"/>
  <c r="D1755"/>
  <c r="C1755"/>
  <c r="B1755"/>
  <c r="D1754"/>
  <c r="C1754"/>
  <c r="B1754"/>
  <c r="D1753"/>
  <c r="C1753"/>
  <c r="B1753"/>
  <c r="D1752"/>
  <c r="C1752"/>
  <c r="B1752"/>
  <c r="D1751"/>
  <c r="C1751"/>
  <c r="B1751"/>
  <c r="D1750"/>
  <c r="C1750"/>
  <c r="B1750"/>
  <c r="D1749"/>
  <c r="C1749"/>
  <c r="B1749"/>
  <c r="D1748"/>
  <c r="C1748"/>
  <c r="B1748"/>
  <c r="D1747"/>
  <c r="C1747"/>
  <c r="B1747"/>
  <c r="D1746"/>
  <c r="C1746"/>
  <c r="B1746"/>
  <c r="D1745"/>
  <c r="C1745"/>
  <c r="B1745"/>
  <c r="D1744"/>
  <c r="C1744"/>
  <c r="B1744"/>
  <c r="D1743"/>
  <c r="C1743"/>
  <c r="B1743"/>
  <c r="D1742"/>
  <c r="C1742"/>
  <c r="B1742"/>
  <c r="D1741"/>
  <c r="C1741"/>
  <c r="B1741"/>
  <c r="D1740"/>
  <c r="C1740"/>
  <c r="B1740"/>
  <c r="D1739"/>
  <c r="C1739"/>
  <c r="B1739"/>
  <c r="D1738"/>
  <c r="C1738"/>
  <c r="B1738"/>
  <c r="D1737"/>
  <c r="C1737"/>
  <c r="B1737"/>
  <c r="D1736"/>
  <c r="C1736"/>
  <c r="B1736"/>
  <c r="D1735"/>
  <c r="C1735"/>
  <c r="B1735"/>
  <c r="D1734"/>
  <c r="C1734"/>
  <c r="B1734"/>
  <c r="D1733"/>
  <c r="C1733"/>
  <c r="B1733"/>
  <c r="D1732"/>
  <c r="C1732"/>
  <c r="B1732"/>
  <c r="D1731"/>
  <c r="C1731"/>
  <c r="B1731"/>
  <c r="D1730"/>
  <c r="C1730"/>
  <c r="B1730"/>
  <c r="D1729"/>
  <c r="C1729"/>
  <c r="B1729"/>
  <c r="D1728"/>
  <c r="C1728"/>
  <c r="B1728"/>
  <c r="D1727"/>
  <c r="C1727"/>
  <c r="B1727"/>
  <c r="D1726"/>
  <c r="C1726"/>
  <c r="B1726"/>
  <c r="D1725"/>
  <c r="C1725"/>
  <c r="B1725"/>
  <c r="D1724"/>
  <c r="C1724"/>
  <c r="B1724"/>
  <c r="D1723"/>
  <c r="C1723"/>
  <c r="B1723"/>
  <c r="D1722"/>
  <c r="C1722"/>
  <c r="B1722"/>
  <c r="D1721"/>
  <c r="C1721"/>
  <c r="B1721"/>
  <c r="D1720"/>
  <c r="C1720"/>
  <c r="B1720"/>
  <c r="D1719"/>
  <c r="C1719"/>
  <c r="B1719"/>
  <c r="D1718"/>
  <c r="C1718"/>
  <c r="B1718"/>
  <c r="D1717"/>
  <c r="C1717"/>
  <c r="B1717"/>
  <c r="D1716"/>
  <c r="C1716"/>
  <c r="B1716"/>
  <c r="D1715"/>
  <c r="C1715"/>
  <c r="B1715"/>
  <c r="D1714"/>
  <c r="C1714"/>
  <c r="B1714"/>
  <c r="D1713"/>
  <c r="C1713"/>
  <c r="B1713"/>
  <c r="D1712"/>
  <c r="C1712"/>
  <c r="B1712"/>
  <c r="D1711"/>
  <c r="C1711"/>
  <c r="B1711"/>
  <c r="D1710"/>
  <c r="C1710"/>
  <c r="B1710"/>
  <c r="D1709"/>
  <c r="C1709"/>
  <c r="B1709"/>
  <c r="D1708"/>
  <c r="C1708"/>
  <c r="B1708"/>
  <c r="D1707"/>
  <c r="C1707"/>
  <c r="B1707"/>
  <c r="D1706"/>
  <c r="C1706"/>
  <c r="B1706"/>
  <c r="D1705"/>
  <c r="C1705"/>
  <c r="B1705"/>
  <c r="D1704"/>
  <c r="C1704"/>
  <c r="B1704"/>
  <c r="D1703"/>
  <c r="C1703"/>
  <c r="B1703"/>
  <c r="D1702"/>
  <c r="C1702"/>
  <c r="B1702"/>
  <c r="D1701"/>
  <c r="C1701"/>
  <c r="B1701"/>
  <c r="D1700"/>
  <c r="C1700"/>
  <c r="B1700"/>
  <c r="D1699"/>
  <c r="C1699"/>
  <c r="B1699"/>
  <c r="D1698"/>
  <c r="C1698"/>
  <c r="B1698"/>
  <c r="D1697"/>
  <c r="C1697"/>
  <c r="B1697"/>
  <c r="D1696"/>
  <c r="C1696"/>
  <c r="B1696"/>
  <c r="D1695"/>
  <c r="C1695"/>
  <c r="B1695"/>
  <c r="D1694"/>
  <c r="C1694"/>
  <c r="B1694"/>
  <c r="D1693"/>
  <c r="C1693"/>
  <c r="B1693"/>
  <c r="D1692"/>
  <c r="C1692"/>
  <c r="B1692"/>
  <c r="D1691"/>
  <c r="C1691"/>
  <c r="B1691"/>
  <c r="D1690"/>
  <c r="C1690"/>
  <c r="B1690"/>
  <c r="D1689"/>
  <c r="C1689"/>
  <c r="B1689"/>
  <c r="D1688"/>
  <c r="C1688"/>
  <c r="B1688"/>
  <c r="D1687"/>
  <c r="C1687"/>
  <c r="B1687"/>
  <c r="D1686"/>
  <c r="C1686"/>
  <c r="B1686"/>
  <c r="D1685"/>
  <c r="C1685"/>
  <c r="B1685"/>
  <c r="D1684"/>
  <c r="C1684"/>
  <c r="B1684"/>
  <c r="D1683"/>
  <c r="C1683"/>
  <c r="B1683"/>
  <c r="D1682"/>
  <c r="C1682"/>
  <c r="B1682"/>
  <c r="D1681"/>
  <c r="C1681"/>
  <c r="B1681"/>
  <c r="D1680"/>
  <c r="C1680"/>
  <c r="B1680"/>
  <c r="D1679"/>
  <c r="C1679"/>
  <c r="B1679"/>
  <c r="D1678"/>
  <c r="C1678"/>
  <c r="B1678"/>
  <c r="D1677"/>
  <c r="C1677"/>
  <c r="B1677"/>
  <c r="D1676"/>
  <c r="C1676"/>
  <c r="B1676"/>
  <c r="D1675"/>
  <c r="C1675"/>
  <c r="B1675"/>
  <c r="D1674"/>
  <c r="C1674"/>
  <c r="B1674"/>
  <c r="D1673"/>
  <c r="C1673"/>
  <c r="B1673"/>
  <c r="D1672"/>
  <c r="C1672"/>
  <c r="B1672"/>
  <c r="D1671"/>
  <c r="C1671"/>
  <c r="B1671"/>
  <c r="D1670"/>
  <c r="C1670"/>
  <c r="B1670"/>
  <c r="D1669"/>
  <c r="C1669"/>
  <c r="B1669"/>
  <c r="D1668"/>
  <c r="C1668"/>
  <c r="B1668"/>
  <c r="D1667"/>
  <c r="C1667"/>
  <c r="B1667"/>
  <c r="D1666"/>
  <c r="C1666"/>
  <c r="B1666"/>
  <c r="D1665"/>
  <c r="C1665"/>
  <c r="B1665"/>
  <c r="D1664"/>
  <c r="C1664"/>
  <c r="B1664"/>
  <c r="D1663"/>
  <c r="C1663"/>
  <c r="B1663"/>
  <c r="D1662"/>
  <c r="C1662"/>
  <c r="B1662"/>
  <c r="D1661"/>
  <c r="C1661"/>
  <c r="B1661"/>
  <c r="D1660"/>
  <c r="C1660"/>
  <c r="B1660"/>
  <c r="D1659"/>
  <c r="C1659"/>
  <c r="B1659"/>
  <c r="D1658"/>
  <c r="C1658"/>
  <c r="B1658"/>
  <c r="D1657"/>
  <c r="C1657"/>
  <c r="B1657"/>
  <c r="D1656"/>
  <c r="C1656"/>
  <c r="B1656"/>
  <c r="D1655"/>
  <c r="C1655"/>
  <c r="B1655"/>
  <c r="D1654"/>
  <c r="C1654"/>
  <c r="B1654"/>
  <c r="D1653"/>
  <c r="C1653"/>
  <c r="B1653"/>
  <c r="D1652"/>
  <c r="C1652"/>
  <c r="B1652"/>
  <c r="D1651"/>
  <c r="C1651"/>
  <c r="B1651"/>
  <c r="D1650"/>
  <c r="C1650"/>
  <c r="B1650"/>
  <c r="D1649"/>
  <c r="C1649"/>
  <c r="B1649"/>
  <c r="D1648"/>
  <c r="C1648"/>
  <c r="B1648"/>
  <c r="D1647"/>
  <c r="C1647"/>
  <c r="B1647"/>
  <c r="D1646"/>
  <c r="C1646"/>
  <c r="B1646"/>
  <c r="D1645"/>
  <c r="C1645"/>
  <c r="B1645"/>
  <c r="D1644"/>
  <c r="C1644"/>
  <c r="B1644"/>
  <c r="D1643"/>
  <c r="C1643"/>
  <c r="B1643"/>
  <c r="D1642"/>
  <c r="C1642"/>
  <c r="B1642"/>
  <c r="D1641"/>
  <c r="C1641"/>
  <c r="B1641"/>
  <c r="D1640"/>
  <c r="C1640"/>
  <c r="B1640"/>
  <c r="D1639"/>
  <c r="C1639"/>
  <c r="B1639"/>
  <c r="D1638"/>
  <c r="C1638"/>
  <c r="B1638"/>
  <c r="D1637"/>
  <c r="C1637"/>
  <c r="B1637"/>
  <c r="D1636"/>
  <c r="C1636"/>
  <c r="B1636"/>
  <c r="D1635"/>
  <c r="C1635"/>
  <c r="B1635"/>
  <c r="D1634"/>
  <c r="C1634"/>
  <c r="B1634"/>
  <c r="D1633"/>
  <c r="C1633"/>
  <c r="B1633"/>
  <c r="D1632"/>
  <c r="C1632"/>
  <c r="B1632"/>
  <c r="D1631"/>
  <c r="C1631"/>
  <c r="B1631"/>
  <c r="D1630"/>
  <c r="C1630"/>
  <c r="B1630"/>
  <c r="D1629"/>
  <c r="C1629"/>
  <c r="B1629"/>
  <c r="D1628"/>
  <c r="C1628"/>
  <c r="B1628"/>
  <c r="D1627"/>
  <c r="C1627"/>
  <c r="B1627"/>
  <c r="D1626"/>
  <c r="C1626"/>
  <c r="B1626"/>
  <c r="D1625"/>
  <c r="C1625"/>
  <c r="B1625"/>
  <c r="D1624"/>
  <c r="C1624"/>
  <c r="B1624"/>
  <c r="D1623"/>
  <c r="C1623"/>
  <c r="B1623"/>
  <c r="D1622"/>
  <c r="C1622"/>
  <c r="B1622"/>
  <c r="D1621"/>
  <c r="C1621"/>
  <c r="B1621"/>
  <c r="D1620"/>
  <c r="C1620"/>
  <c r="B1620"/>
  <c r="D1619"/>
  <c r="C1619"/>
  <c r="B1619"/>
  <c r="D1618"/>
  <c r="C1618"/>
  <c r="B1618"/>
  <c r="D1617"/>
  <c r="C1617"/>
  <c r="B1617"/>
  <c r="D1616"/>
  <c r="C1616"/>
  <c r="B1616"/>
  <c r="D1615"/>
  <c r="C1615"/>
  <c r="B1615"/>
  <c r="D1614"/>
  <c r="C1614"/>
  <c r="B1614"/>
  <c r="D1613"/>
  <c r="C1613"/>
  <c r="B1613"/>
  <c r="D1612"/>
  <c r="C1612"/>
  <c r="B1612"/>
  <c r="D1611"/>
  <c r="C1611"/>
  <c r="B1611"/>
  <c r="D1610"/>
  <c r="C1610"/>
  <c r="B1610"/>
  <c r="D1609"/>
  <c r="C1609"/>
  <c r="B1609"/>
  <c r="D1608"/>
  <c r="C1608"/>
  <c r="B1608"/>
  <c r="D1607"/>
  <c r="C1607"/>
  <c r="B1607"/>
  <c r="D1606"/>
  <c r="C1606"/>
  <c r="B1606"/>
  <c r="D1605"/>
  <c r="C1605"/>
  <c r="B1605"/>
  <c r="D1604"/>
  <c r="C1604"/>
  <c r="B1604"/>
  <c r="D1603"/>
  <c r="C1603"/>
  <c r="B1603"/>
  <c r="D1602"/>
  <c r="C1602"/>
  <c r="B1602"/>
  <c r="D1601"/>
  <c r="C1601"/>
  <c r="B1601"/>
  <c r="D1600"/>
  <c r="C1600"/>
  <c r="B1600"/>
  <c r="D1599"/>
  <c r="C1599"/>
  <c r="B1599"/>
  <c r="D1598"/>
  <c r="C1598"/>
  <c r="B1598"/>
  <c r="D1597"/>
  <c r="C1597"/>
  <c r="B1597"/>
  <c r="D1596"/>
  <c r="C1596"/>
  <c r="B1596"/>
  <c r="D1595"/>
  <c r="C1595"/>
  <c r="B1595"/>
  <c r="D1594"/>
  <c r="C1594"/>
  <c r="B1594"/>
  <c r="D1593"/>
  <c r="C1593"/>
  <c r="B1593"/>
  <c r="D1592"/>
  <c r="C1592"/>
  <c r="B1592"/>
  <c r="D1591"/>
  <c r="C1591"/>
  <c r="B1591"/>
  <c r="D1590"/>
  <c r="C1590"/>
  <c r="B1590"/>
  <c r="D1589"/>
  <c r="C1589"/>
  <c r="B1589"/>
  <c r="D1588"/>
  <c r="C1588"/>
  <c r="B1588"/>
  <c r="D1587"/>
  <c r="C1587"/>
  <c r="B1587"/>
  <c r="D1586"/>
  <c r="C1586"/>
  <c r="B1586"/>
  <c r="D1585"/>
  <c r="C1585"/>
  <c r="B1585"/>
  <c r="D1584"/>
  <c r="C1584"/>
  <c r="B1584"/>
  <c r="D1583"/>
  <c r="C1583"/>
  <c r="B1583"/>
  <c r="D1582"/>
  <c r="C1582"/>
  <c r="B1582"/>
  <c r="D1581"/>
  <c r="C1581"/>
  <c r="B1581"/>
  <c r="D1580"/>
  <c r="C1580"/>
  <c r="B1580"/>
  <c r="D1579"/>
  <c r="C1579"/>
  <c r="B1579"/>
  <c r="D1578"/>
  <c r="C1578"/>
  <c r="B1578"/>
  <c r="D1577"/>
  <c r="C1577"/>
  <c r="B1577"/>
  <c r="D1576"/>
  <c r="C1576"/>
  <c r="B1576"/>
  <c r="D1575"/>
  <c r="C1575"/>
  <c r="B1575"/>
  <c r="D1574"/>
  <c r="C1574"/>
  <c r="B1574"/>
  <c r="D1573"/>
  <c r="C1573"/>
  <c r="B1573"/>
  <c r="D1572"/>
  <c r="C1572"/>
  <c r="B1572"/>
  <c r="D1571"/>
  <c r="C1571"/>
  <c r="B1571"/>
  <c r="D1570"/>
  <c r="C1570"/>
  <c r="B1570"/>
  <c r="D1569"/>
  <c r="C1569"/>
  <c r="B1569"/>
  <c r="D1568"/>
  <c r="C1568"/>
  <c r="B1568"/>
  <c r="D1567"/>
  <c r="C1567"/>
  <c r="B1567"/>
  <c r="D1566"/>
  <c r="C1566"/>
  <c r="B1566"/>
  <c r="D1565"/>
  <c r="C1565"/>
  <c r="B1565"/>
  <c r="D1564"/>
  <c r="C1564"/>
  <c r="B1564"/>
  <c r="D1563"/>
  <c r="C1563"/>
  <c r="B1563"/>
  <c r="D1562"/>
  <c r="C1562"/>
  <c r="B1562"/>
  <c r="D1561"/>
  <c r="C1561"/>
  <c r="B1561"/>
  <c r="D1560"/>
  <c r="C1560"/>
  <c r="B1560"/>
  <c r="D1559"/>
  <c r="C1559"/>
  <c r="B1559"/>
  <c r="D1558"/>
  <c r="C1558"/>
  <c r="B1558"/>
  <c r="D1557"/>
  <c r="C1557"/>
  <c r="B1557"/>
  <c r="D1556"/>
  <c r="C1556"/>
  <c r="B1556"/>
  <c r="D1555"/>
  <c r="C1555"/>
  <c r="B1555"/>
  <c r="D1554"/>
  <c r="C1554"/>
  <c r="B1554"/>
  <c r="D1553"/>
  <c r="C1553"/>
  <c r="B1553"/>
  <c r="D1552"/>
  <c r="C1552"/>
  <c r="B1552"/>
  <c r="D1551"/>
  <c r="C1551"/>
  <c r="B1551"/>
  <c r="D1550"/>
  <c r="C1550"/>
  <c r="B1550"/>
  <c r="D1549"/>
  <c r="C1549"/>
  <c r="B1549"/>
  <c r="D1548"/>
  <c r="C1548"/>
  <c r="B1548"/>
  <c r="D1547"/>
  <c r="C1547"/>
  <c r="B1547"/>
  <c r="D1546"/>
  <c r="C1546"/>
  <c r="B1546"/>
  <c r="D1545"/>
  <c r="C1545"/>
  <c r="B1545"/>
  <c r="D1544"/>
  <c r="C1544"/>
  <c r="B1544"/>
  <c r="D1543"/>
  <c r="C1543"/>
  <c r="B1543"/>
  <c r="D1542"/>
  <c r="C1542"/>
  <c r="B1542"/>
  <c r="D1541"/>
  <c r="C1541"/>
  <c r="B1541"/>
  <c r="D1540"/>
  <c r="C1540"/>
  <c r="B1540"/>
  <c r="D1539"/>
  <c r="C1539"/>
  <c r="B1539"/>
  <c r="D1538"/>
  <c r="C1538"/>
  <c r="B1538"/>
  <c r="D1537"/>
  <c r="C1537"/>
  <c r="B1537"/>
  <c r="D1536"/>
  <c r="C1536"/>
  <c r="B1536"/>
  <c r="D1535"/>
  <c r="C1535"/>
  <c r="B1535"/>
  <c r="D1534"/>
  <c r="C1534"/>
  <c r="B1534"/>
  <c r="D1533"/>
  <c r="C1533"/>
  <c r="B1533"/>
  <c r="D1532"/>
  <c r="C1532"/>
  <c r="B1532"/>
  <c r="D1531"/>
  <c r="C1531"/>
  <c r="B1531"/>
  <c r="D1530"/>
  <c r="C1530"/>
  <c r="B1530"/>
  <c r="D1529"/>
  <c r="C1529"/>
  <c r="B1529"/>
  <c r="D1528"/>
  <c r="C1528"/>
  <c r="B1528"/>
  <c r="D1527"/>
  <c r="C1527"/>
  <c r="B1527"/>
  <c r="D1526"/>
  <c r="C1526"/>
  <c r="B1526"/>
  <c r="D1525"/>
  <c r="C1525"/>
  <c r="B1525"/>
  <c r="D1524"/>
  <c r="C1524"/>
  <c r="B1524"/>
  <c r="D1523"/>
  <c r="C1523"/>
  <c r="B1523"/>
  <c r="D1522"/>
  <c r="C1522"/>
  <c r="B1522"/>
  <c r="D1521"/>
  <c r="C1521"/>
  <c r="B1521"/>
  <c r="D1520"/>
  <c r="C1520"/>
  <c r="B1520"/>
  <c r="D1519"/>
  <c r="C1519"/>
  <c r="B1519"/>
  <c r="D1518"/>
  <c r="C1518"/>
  <c r="B1518"/>
  <c r="D1517"/>
  <c r="C1517"/>
  <c r="B1517"/>
  <c r="D1516"/>
  <c r="C1516"/>
  <c r="B1516"/>
  <c r="D1515"/>
  <c r="C1515"/>
  <c r="B1515"/>
  <c r="D1514"/>
  <c r="C1514"/>
  <c r="B1514"/>
  <c r="D1513"/>
  <c r="C1513"/>
  <c r="B1513"/>
  <c r="D1512"/>
  <c r="C1512"/>
  <c r="B1512"/>
  <c r="D1511"/>
  <c r="C1511"/>
  <c r="B1511"/>
  <c r="D1510"/>
  <c r="C1510"/>
  <c r="B1510"/>
  <c r="D1509"/>
  <c r="C1509"/>
  <c r="B1509"/>
  <c r="D1508"/>
  <c r="C1508"/>
  <c r="B1508"/>
  <c r="D1507"/>
  <c r="C1507"/>
  <c r="B1507"/>
  <c r="D1506"/>
  <c r="C1506"/>
  <c r="B1506"/>
  <c r="D1505"/>
  <c r="C1505"/>
  <c r="B1505"/>
  <c r="D1504"/>
  <c r="C1504"/>
  <c r="B1504"/>
  <c r="D1503"/>
  <c r="C1503"/>
  <c r="B1503"/>
  <c r="D1502"/>
  <c r="C1502"/>
  <c r="B1502"/>
  <c r="D1501"/>
  <c r="C1501"/>
  <c r="B1501"/>
  <c r="D1500"/>
  <c r="C1500"/>
  <c r="B1500"/>
  <c r="D1499"/>
  <c r="C1499"/>
  <c r="B1499"/>
  <c r="D1498"/>
  <c r="C1498"/>
  <c r="B1498"/>
  <c r="D1497"/>
  <c r="C1497"/>
  <c r="B1497"/>
  <c r="D1496"/>
  <c r="C1496"/>
  <c r="B1496"/>
  <c r="D1495"/>
  <c r="C1495"/>
  <c r="B1495"/>
  <c r="D1494"/>
  <c r="C1494"/>
  <c r="B1494"/>
  <c r="D1493"/>
  <c r="C1493"/>
  <c r="B1493"/>
  <c r="D1492"/>
  <c r="C1492"/>
  <c r="B1492"/>
  <c r="D1491"/>
  <c r="C1491"/>
  <c r="B1491"/>
  <c r="D1490"/>
  <c r="C1490"/>
  <c r="B1490"/>
  <c r="D1489"/>
  <c r="C1489"/>
  <c r="B1489"/>
  <c r="D1488"/>
  <c r="C1488"/>
  <c r="B1488"/>
  <c r="D1487"/>
  <c r="C1487"/>
  <c r="B1487"/>
  <c r="D1486"/>
  <c r="C1486"/>
  <c r="B1486"/>
  <c r="D1485"/>
  <c r="C1485"/>
  <c r="B1485"/>
  <c r="D1484"/>
  <c r="C1484"/>
  <c r="B1484"/>
  <c r="D1483"/>
  <c r="C1483"/>
  <c r="B1483"/>
  <c r="D1482"/>
  <c r="C1482"/>
  <c r="B1482"/>
  <c r="D1481"/>
  <c r="C1481"/>
  <c r="B1481"/>
  <c r="D1480"/>
  <c r="C1480"/>
  <c r="B1480"/>
  <c r="D1479"/>
  <c r="C1479"/>
  <c r="B1479"/>
  <c r="D1478"/>
  <c r="C1478"/>
  <c r="B1478"/>
  <c r="D1477"/>
  <c r="C1477"/>
  <c r="B1477"/>
  <c r="D1476"/>
  <c r="C1476"/>
  <c r="B1476"/>
  <c r="D1475"/>
  <c r="C1475"/>
  <c r="B1475"/>
  <c r="D1474"/>
  <c r="C1474"/>
  <c r="B1474"/>
  <c r="D1473"/>
  <c r="C1473"/>
  <c r="B1473"/>
  <c r="D1472"/>
  <c r="C1472"/>
  <c r="B1472"/>
  <c r="D1471"/>
  <c r="C1471"/>
  <c r="B1471"/>
  <c r="D1470"/>
  <c r="C1470"/>
  <c r="B1470"/>
  <c r="D1469"/>
  <c r="C1469"/>
  <c r="B1469"/>
  <c r="D1468"/>
  <c r="C1468"/>
  <c r="B1468"/>
  <c r="D1467"/>
  <c r="C1467"/>
  <c r="B1467"/>
  <c r="D1466"/>
  <c r="C1466"/>
  <c r="B1466"/>
  <c r="D1465"/>
  <c r="C1465"/>
  <c r="B1465"/>
  <c r="D1464"/>
  <c r="C1464"/>
  <c r="B1464"/>
  <c r="D1463"/>
  <c r="C1463"/>
  <c r="B1463"/>
  <c r="D1462"/>
  <c r="C1462"/>
  <c r="B1462"/>
  <c r="D1461"/>
  <c r="C1461"/>
  <c r="B1461"/>
  <c r="D1460"/>
  <c r="C1460"/>
  <c r="B1460"/>
  <c r="D1459"/>
  <c r="C1459"/>
  <c r="B1459"/>
  <c r="D1458"/>
  <c r="C1458"/>
  <c r="B1458"/>
  <c r="D1457"/>
  <c r="C1457"/>
  <c r="B1457"/>
  <c r="D1456"/>
  <c r="C1456"/>
  <c r="B1456"/>
  <c r="D1455"/>
  <c r="C1455"/>
  <c r="B1455"/>
  <c r="D1454"/>
  <c r="C1454"/>
  <c r="B1454"/>
  <c r="D1453"/>
  <c r="C1453"/>
  <c r="B1453"/>
  <c r="D1452"/>
  <c r="C1452"/>
  <c r="B1452"/>
  <c r="D1451"/>
  <c r="C1451"/>
  <c r="B1451"/>
  <c r="D1450"/>
  <c r="C1450"/>
  <c r="B1450"/>
  <c r="D1449"/>
  <c r="C1449"/>
  <c r="B1449"/>
  <c r="D1448"/>
  <c r="C1448"/>
  <c r="B1448"/>
  <c r="D1447"/>
  <c r="C1447"/>
  <c r="B1447"/>
  <c r="D1446"/>
  <c r="C1446"/>
  <c r="B1446"/>
  <c r="D1445"/>
  <c r="C1445"/>
  <c r="B1445"/>
  <c r="D1444"/>
  <c r="C1444"/>
  <c r="B1444"/>
  <c r="D1443"/>
  <c r="C1443"/>
  <c r="B1443"/>
  <c r="D1442"/>
  <c r="C1442"/>
  <c r="B1442"/>
  <c r="D1441"/>
  <c r="C1441"/>
  <c r="B1441"/>
  <c r="D1440"/>
  <c r="C1440"/>
  <c r="B1440"/>
  <c r="D1439"/>
  <c r="C1439"/>
  <c r="B1439"/>
  <c r="D1438"/>
  <c r="C1438"/>
  <c r="B1438"/>
  <c r="D1437"/>
  <c r="C1437"/>
  <c r="B1437"/>
  <c r="D1436"/>
  <c r="C1436"/>
  <c r="B1436"/>
  <c r="D1435"/>
  <c r="C1435"/>
  <c r="B1435"/>
  <c r="D1434"/>
  <c r="C1434"/>
  <c r="B1434"/>
  <c r="D1433"/>
  <c r="C1433"/>
  <c r="B1433"/>
  <c r="D1432"/>
  <c r="C1432"/>
  <c r="B1432"/>
  <c r="D1431"/>
  <c r="C1431"/>
  <c r="B1431"/>
  <c r="D1430"/>
  <c r="C1430"/>
  <c r="B1430"/>
  <c r="D1429"/>
  <c r="C1429"/>
  <c r="B1429"/>
  <c r="D1428"/>
  <c r="C1428"/>
  <c r="B1428"/>
  <c r="D1427"/>
  <c r="C1427"/>
  <c r="B1427"/>
  <c r="D1426"/>
  <c r="C1426"/>
  <c r="B1426"/>
  <c r="D1425"/>
  <c r="C1425"/>
  <c r="B1425"/>
  <c r="D1424"/>
  <c r="C1424"/>
  <c r="B1424"/>
  <c r="D1423"/>
  <c r="C1423"/>
  <c r="B1423"/>
  <c r="D1422"/>
  <c r="C1422"/>
  <c r="B1422"/>
  <c r="D1421"/>
  <c r="C1421"/>
  <c r="B1421"/>
  <c r="D1420"/>
  <c r="C1420"/>
  <c r="B1420"/>
  <c r="D1419"/>
  <c r="C1419"/>
  <c r="B1419"/>
  <c r="D1418"/>
  <c r="C1418"/>
  <c r="B1418"/>
  <c r="D1417"/>
  <c r="C1417"/>
  <c r="B1417"/>
  <c r="D1416"/>
  <c r="C1416"/>
  <c r="B1416"/>
  <c r="D1415"/>
  <c r="C1415"/>
  <c r="B1415"/>
  <c r="D1414"/>
  <c r="C1414"/>
  <c r="B1414"/>
  <c r="D1413"/>
  <c r="C1413"/>
  <c r="B1413"/>
  <c r="D1412"/>
  <c r="C1412"/>
  <c r="B1412"/>
  <c r="D1411"/>
  <c r="C1411"/>
  <c r="B1411"/>
  <c r="D1410"/>
  <c r="C1410"/>
  <c r="B1410"/>
  <c r="D1409"/>
  <c r="C1409"/>
  <c r="B1409"/>
  <c r="D1408"/>
  <c r="C1408"/>
  <c r="B1408"/>
  <c r="D1407"/>
  <c r="C1407"/>
  <c r="B1407"/>
  <c r="D1406"/>
  <c r="C1406"/>
  <c r="B1406"/>
  <c r="D1405"/>
  <c r="C1405"/>
  <c r="B1405"/>
  <c r="D1404"/>
  <c r="C1404"/>
  <c r="B1404"/>
  <c r="D1403"/>
  <c r="C1403"/>
  <c r="B1403"/>
  <c r="D1402"/>
  <c r="C1402"/>
  <c r="B1402"/>
  <c r="D1401"/>
  <c r="C1401"/>
  <c r="B1401"/>
  <c r="D1400"/>
  <c r="C1400"/>
  <c r="B1400"/>
  <c r="D1399"/>
  <c r="C1399"/>
  <c r="B1399"/>
  <c r="D1398"/>
  <c r="C1398"/>
  <c r="B1398"/>
  <c r="D1397"/>
  <c r="C1397"/>
  <c r="B1397"/>
  <c r="D1396"/>
  <c r="C1396"/>
  <c r="B1396"/>
  <c r="D1395"/>
  <c r="C1395"/>
  <c r="B1395"/>
  <c r="D1394"/>
  <c r="C1394"/>
  <c r="B1394"/>
  <c r="D1393"/>
  <c r="C1393"/>
  <c r="B1393"/>
  <c r="D1392"/>
  <c r="C1392"/>
  <c r="B1392"/>
  <c r="D1391"/>
  <c r="C1391"/>
  <c r="B1391"/>
  <c r="D1390"/>
  <c r="C1390"/>
  <c r="B1390"/>
  <c r="D1389"/>
  <c r="C1389"/>
  <c r="B1389"/>
  <c r="D1388"/>
  <c r="C1388"/>
  <c r="B1388"/>
  <c r="D1387"/>
  <c r="C1387"/>
  <c r="B1387"/>
  <c r="D1386"/>
  <c r="C1386"/>
  <c r="B1386"/>
  <c r="D1385"/>
  <c r="C1385"/>
  <c r="B1385"/>
  <c r="D1384"/>
  <c r="C1384"/>
  <c r="B1384"/>
  <c r="D1383"/>
  <c r="C1383"/>
  <c r="B1383"/>
  <c r="D1382"/>
  <c r="C1382"/>
  <c r="B1382"/>
  <c r="D1381"/>
  <c r="C1381"/>
  <c r="B1381"/>
  <c r="D1380"/>
  <c r="C1380"/>
  <c r="B1380"/>
  <c r="D1379"/>
  <c r="C1379"/>
  <c r="B1379"/>
  <c r="D1378"/>
  <c r="C1378"/>
  <c r="B1378"/>
  <c r="D1377"/>
  <c r="C1377"/>
  <c r="B1377"/>
  <c r="D1376"/>
  <c r="C1376"/>
  <c r="B1376"/>
  <c r="D1375"/>
  <c r="C1375"/>
  <c r="B1375"/>
  <c r="D1374"/>
  <c r="C1374"/>
  <c r="B1374"/>
  <c r="D1373"/>
  <c r="C1373"/>
  <c r="B1373"/>
  <c r="D1372"/>
  <c r="C1372"/>
  <c r="B1372"/>
  <c r="D1371"/>
  <c r="C1371"/>
  <c r="B1371"/>
  <c r="D1370"/>
  <c r="C1370"/>
  <c r="B1370"/>
  <c r="D1369"/>
  <c r="C1369"/>
  <c r="B1369"/>
  <c r="D1368"/>
  <c r="C1368"/>
  <c r="B1368"/>
  <c r="D1367"/>
  <c r="C1367"/>
  <c r="B1367"/>
  <c r="D1366"/>
  <c r="C1366"/>
  <c r="B1366"/>
  <c r="D1365"/>
  <c r="C1365"/>
  <c r="B1365"/>
  <c r="D1364"/>
  <c r="C1364"/>
  <c r="B1364"/>
  <c r="D1363"/>
  <c r="C1363"/>
  <c r="B1363"/>
  <c r="D1362"/>
  <c r="C1362"/>
  <c r="B1362"/>
  <c r="D1361"/>
  <c r="C1361"/>
  <c r="B1361"/>
  <c r="D1360"/>
  <c r="C1360"/>
  <c r="B1360"/>
  <c r="D1359"/>
  <c r="C1359"/>
  <c r="B1359"/>
  <c r="D1358"/>
  <c r="C1358"/>
  <c r="B1358"/>
  <c r="D1357"/>
  <c r="C1357"/>
  <c r="B1357"/>
  <c r="D1356"/>
  <c r="C1356"/>
  <c r="B1356"/>
  <c r="D1355"/>
  <c r="C1355"/>
  <c r="B1355"/>
  <c r="D1354"/>
  <c r="C1354"/>
  <c r="B1354"/>
  <c r="D1353"/>
  <c r="C1353"/>
  <c r="B1353"/>
  <c r="D1352"/>
  <c r="C1352"/>
  <c r="B1352"/>
  <c r="D1351"/>
  <c r="C1351"/>
  <c r="B1351"/>
  <c r="D1350"/>
  <c r="C1350"/>
  <c r="B1350"/>
  <c r="D1349"/>
  <c r="C1349"/>
  <c r="B1349"/>
  <c r="D1348"/>
  <c r="C1348"/>
  <c r="B1348"/>
  <c r="D1347"/>
  <c r="C1347"/>
  <c r="B1347"/>
  <c r="D1346"/>
  <c r="C1346"/>
  <c r="B1346"/>
  <c r="D1345"/>
  <c r="C1345"/>
  <c r="B1345"/>
  <c r="D1344"/>
  <c r="C1344"/>
  <c r="B1344"/>
  <c r="D1343"/>
  <c r="C1343"/>
  <c r="B1343"/>
  <c r="D1342"/>
  <c r="C1342"/>
  <c r="B1342"/>
  <c r="D1341"/>
  <c r="C1341"/>
  <c r="B1341"/>
  <c r="D1340"/>
  <c r="C1340"/>
  <c r="B1340"/>
  <c r="D1339"/>
  <c r="C1339"/>
  <c r="B1339"/>
  <c r="D1338"/>
  <c r="C1338"/>
  <c r="B1338"/>
  <c r="D1337"/>
  <c r="C1337"/>
  <c r="B1337"/>
  <c r="D1336"/>
  <c r="C1336"/>
  <c r="B1336"/>
  <c r="D1335"/>
  <c r="C1335"/>
  <c r="B1335"/>
  <c r="D1334"/>
  <c r="C1334"/>
  <c r="B1334"/>
  <c r="D1333"/>
  <c r="C1333"/>
  <c r="B1333"/>
  <c r="D1332"/>
  <c r="C1332"/>
  <c r="B1332"/>
  <c r="D1331"/>
  <c r="C1331"/>
  <c r="B1331"/>
  <c r="D1330"/>
  <c r="C1330"/>
  <c r="B1330"/>
  <c r="D1329"/>
  <c r="C1329"/>
  <c r="B1329"/>
  <c r="D1328"/>
  <c r="C1328"/>
  <c r="B1328"/>
  <c r="D1327"/>
  <c r="C1327"/>
  <c r="B1327"/>
  <c r="D1326"/>
  <c r="C1326"/>
  <c r="B1326"/>
  <c r="D1325"/>
  <c r="C1325"/>
  <c r="B1325"/>
  <c r="D1324"/>
  <c r="C1324"/>
  <c r="B1324"/>
  <c r="D1323"/>
  <c r="C1323"/>
  <c r="B1323"/>
  <c r="D1322"/>
  <c r="C1322"/>
  <c r="B1322"/>
  <c r="D1321"/>
  <c r="C1321"/>
  <c r="B1321"/>
  <c r="D1320"/>
  <c r="C1320"/>
  <c r="B1320"/>
  <c r="D1319"/>
  <c r="C1319"/>
  <c r="B1319"/>
  <c r="D1318"/>
  <c r="C1318"/>
  <c r="B1318"/>
  <c r="D1317"/>
  <c r="C1317"/>
  <c r="B1317"/>
  <c r="D1316"/>
  <c r="C1316"/>
  <c r="B1316"/>
  <c r="D1315"/>
  <c r="C1315"/>
  <c r="B1315"/>
  <c r="D1314"/>
  <c r="C1314"/>
  <c r="B1314"/>
  <c r="D1313"/>
  <c r="C1313"/>
  <c r="B1313"/>
  <c r="D1312"/>
  <c r="C1312"/>
  <c r="B1312"/>
  <c r="D1311"/>
  <c r="C1311"/>
  <c r="B1311"/>
  <c r="D1310"/>
  <c r="C1310"/>
  <c r="B1310"/>
  <c r="D1309"/>
  <c r="C1309"/>
  <c r="B1309"/>
  <c r="D1308"/>
  <c r="C1308"/>
  <c r="B1308"/>
  <c r="D1307"/>
  <c r="C1307"/>
  <c r="B1307"/>
  <c r="D1306"/>
  <c r="C1306"/>
  <c r="B1306"/>
  <c r="D1305"/>
  <c r="C1305"/>
  <c r="B1305"/>
  <c r="D1304"/>
  <c r="C1304"/>
  <c r="B1304"/>
  <c r="D1303"/>
  <c r="C1303"/>
  <c r="B1303"/>
  <c r="D1302"/>
  <c r="C1302"/>
  <c r="B1302"/>
  <c r="D1301"/>
  <c r="C1301"/>
  <c r="B1301"/>
  <c r="D1300"/>
  <c r="C1300"/>
  <c r="B1300"/>
  <c r="D1299"/>
  <c r="C1299"/>
  <c r="B1299"/>
  <c r="D1298"/>
  <c r="C1298"/>
  <c r="B1298"/>
  <c r="D1297"/>
  <c r="C1297"/>
  <c r="B1297"/>
  <c r="D1296"/>
  <c r="C1296"/>
  <c r="B1296"/>
  <c r="D1295"/>
  <c r="C1295"/>
  <c r="B1295"/>
  <c r="D1294"/>
  <c r="C1294"/>
  <c r="B1294"/>
  <c r="D1293"/>
  <c r="C1293"/>
  <c r="B1293"/>
  <c r="D1292"/>
  <c r="C1292"/>
  <c r="B1292"/>
  <c r="D1291"/>
  <c r="C1291"/>
  <c r="B1291"/>
  <c r="D1290"/>
  <c r="C1290"/>
  <c r="B1290"/>
  <c r="D1289"/>
  <c r="C1289"/>
  <c r="B1289"/>
  <c r="D1288"/>
  <c r="C1288"/>
  <c r="B1288"/>
  <c r="D1287"/>
  <c r="C1287"/>
  <c r="B1287"/>
  <c r="D1286"/>
  <c r="C1286"/>
  <c r="B1286"/>
  <c r="D1285"/>
  <c r="C1285"/>
  <c r="B1285"/>
  <c r="D1284"/>
  <c r="C1284"/>
  <c r="B1284"/>
  <c r="D1283"/>
  <c r="C1283"/>
  <c r="B1283"/>
  <c r="D1282"/>
  <c r="C1282"/>
  <c r="B1282"/>
  <c r="D1281"/>
  <c r="C1281"/>
  <c r="B1281"/>
  <c r="D1280"/>
  <c r="C1280"/>
  <c r="B1280"/>
  <c r="D1279"/>
  <c r="C1279"/>
  <c r="B1279"/>
  <c r="D1278"/>
  <c r="C1278"/>
  <c r="B1278"/>
  <c r="D1277"/>
  <c r="C1277"/>
  <c r="B1277"/>
  <c r="D1276"/>
  <c r="C1276"/>
  <c r="B1276"/>
  <c r="D1275"/>
  <c r="C1275"/>
  <c r="B1275"/>
  <c r="D1274"/>
  <c r="C1274"/>
  <c r="B1274"/>
  <c r="D1273"/>
  <c r="C1273"/>
  <c r="B1273"/>
  <c r="D1272"/>
  <c r="C1272"/>
  <c r="B1272"/>
  <c r="D1271"/>
  <c r="C1271"/>
  <c r="B1271"/>
  <c r="D1270"/>
  <c r="C1270"/>
  <c r="B1270"/>
  <c r="D1269"/>
  <c r="C1269"/>
  <c r="B1269"/>
  <c r="D1268"/>
  <c r="C1268"/>
  <c r="B1268"/>
  <c r="D1267"/>
  <c r="C1267"/>
  <c r="B1267"/>
  <c r="D1266"/>
  <c r="C1266"/>
  <c r="B1266"/>
  <c r="D1265"/>
  <c r="C1265"/>
  <c r="B1265"/>
  <c r="D1264"/>
  <c r="C1264"/>
  <c r="B1264"/>
  <c r="D1263"/>
  <c r="C1263"/>
  <c r="B1263"/>
  <c r="D1262"/>
  <c r="C1262"/>
  <c r="B1262"/>
  <c r="D1261"/>
  <c r="C1261"/>
  <c r="B1261"/>
  <c r="D1260"/>
  <c r="C1260"/>
  <c r="B1260"/>
  <c r="D1259"/>
  <c r="C1259"/>
  <c r="B1259"/>
  <c r="D1258"/>
  <c r="C1258"/>
  <c r="B1258"/>
  <c r="D1257"/>
  <c r="C1257"/>
  <c r="B1257"/>
  <c r="D1256"/>
  <c r="C1256"/>
  <c r="B1256"/>
  <c r="D1255"/>
  <c r="C1255"/>
  <c r="B1255"/>
  <c r="D1254"/>
  <c r="C1254"/>
  <c r="B1254"/>
  <c r="D1253"/>
  <c r="C1253"/>
  <c r="B1253"/>
  <c r="D1252"/>
  <c r="C1252"/>
  <c r="B1252"/>
  <c r="D1251"/>
  <c r="C1251"/>
  <c r="B1251"/>
  <c r="D1250"/>
  <c r="C1250"/>
  <c r="B1250"/>
  <c r="D1249"/>
  <c r="C1249"/>
  <c r="B1249"/>
  <c r="D1248"/>
  <c r="C1248"/>
  <c r="B1248"/>
  <c r="D1247"/>
  <c r="C1247"/>
  <c r="B1247"/>
  <c r="D1246"/>
  <c r="C1246"/>
  <c r="B1246"/>
  <c r="D1245"/>
  <c r="C1245"/>
  <c r="B1245"/>
  <c r="D1244"/>
  <c r="C1244"/>
  <c r="B1244"/>
  <c r="D1243"/>
  <c r="C1243"/>
  <c r="B1243"/>
  <c r="D1242"/>
  <c r="C1242"/>
  <c r="B1242"/>
  <c r="D1241"/>
  <c r="C1241"/>
  <c r="B1241"/>
  <c r="D1240"/>
  <c r="C1240"/>
  <c r="B1240"/>
  <c r="D1239"/>
  <c r="C1239"/>
  <c r="B1239"/>
  <c r="D1238"/>
  <c r="C1238"/>
  <c r="B1238"/>
  <c r="D1237"/>
  <c r="C1237"/>
  <c r="B1237"/>
  <c r="D1236"/>
  <c r="C1236"/>
  <c r="B1236"/>
  <c r="D1235"/>
  <c r="C1235"/>
  <c r="B1235"/>
  <c r="D1234"/>
  <c r="C1234"/>
  <c r="B1234"/>
  <c r="D1233"/>
  <c r="C1233"/>
  <c r="B1233"/>
  <c r="D1232"/>
  <c r="C1232"/>
  <c r="B1232"/>
  <c r="D1231"/>
  <c r="C1231"/>
  <c r="B1231"/>
  <c r="D1230"/>
  <c r="C1230"/>
  <c r="B1230"/>
  <c r="D1229"/>
  <c r="C1229"/>
  <c r="B1229"/>
  <c r="D1228"/>
  <c r="C1228"/>
  <c r="B1228"/>
  <c r="D1227"/>
  <c r="C1227"/>
  <c r="B1227"/>
  <c r="D1226"/>
  <c r="C1226"/>
  <c r="B1226"/>
  <c r="D1225"/>
  <c r="C1225"/>
  <c r="B1225"/>
  <c r="D1224"/>
  <c r="C1224"/>
  <c r="B1224"/>
  <c r="D1223"/>
  <c r="C1223"/>
  <c r="B1223"/>
  <c r="D1222"/>
  <c r="C1222"/>
  <c r="B1222"/>
  <c r="D1221"/>
  <c r="C1221"/>
  <c r="B1221"/>
  <c r="D1220"/>
  <c r="C1220"/>
  <c r="B1220"/>
  <c r="D1219"/>
  <c r="C1219"/>
  <c r="B1219"/>
  <c r="D1218"/>
  <c r="C1218"/>
  <c r="B1218"/>
  <c r="D1217"/>
  <c r="C1217"/>
  <c r="B1217"/>
  <c r="D1216"/>
  <c r="C1216"/>
  <c r="B1216"/>
  <c r="D1215"/>
  <c r="C1215"/>
  <c r="B1215"/>
  <c r="D1214"/>
  <c r="C1214"/>
  <c r="B1214"/>
  <c r="D1213"/>
  <c r="C1213"/>
  <c r="B1213"/>
  <c r="D1212"/>
  <c r="C1212"/>
  <c r="B1212"/>
  <c r="D1211"/>
  <c r="C1211"/>
  <c r="B1211"/>
  <c r="D1210"/>
  <c r="C1210"/>
  <c r="B1210"/>
  <c r="D1209"/>
  <c r="C1209"/>
  <c r="B1209"/>
  <c r="D1208"/>
  <c r="C1208"/>
  <c r="B1208"/>
  <c r="D1207"/>
  <c r="C1207"/>
  <c r="B1207"/>
  <c r="D1206"/>
  <c r="C1206"/>
  <c r="B1206"/>
  <c r="D1205"/>
  <c r="C1205"/>
  <c r="B1205"/>
  <c r="D1204"/>
  <c r="C1204"/>
  <c r="B1204"/>
  <c r="D1203"/>
  <c r="C1203"/>
  <c r="B1203"/>
  <c r="D1202"/>
  <c r="C1202"/>
  <c r="B1202"/>
  <c r="D1201"/>
  <c r="C1201"/>
  <c r="B1201"/>
  <c r="D1200"/>
  <c r="C1200"/>
  <c r="B1200"/>
  <c r="D1199"/>
  <c r="C1199"/>
  <c r="B1199"/>
  <c r="D1198"/>
  <c r="C1198"/>
  <c r="B1198"/>
  <c r="D1197"/>
  <c r="C1197"/>
  <c r="B1197"/>
  <c r="D1196"/>
  <c r="C1196"/>
  <c r="B1196"/>
  <c r="D1195"/>
  <c r="C1195"/>
  <c r="B1195"/>
  <c r="D1194"/>
  <c r="C1194"/>
  <c r="B1194"/>
  <c r="D1193"/>
  <c r="C1193"/>
  <c r="B1193"/>
  <c r="D1192"/>
  <c r="C1192"/>
  <c r="B1192"/>
  <c r="D1191"/>
  <c r="C1191"/>
  <c r="B1191"/>
  <c r="D1190"/>
  <c r="C1190"/>
  <c r="B1190"/>
  <c r="D1189"/>
  <c r="C1189"/>
  <c r="B1189"/>
  <c r="D1188"/>
  <c r="C1188"/>
  <c r="B1188"/>
  <c r="D1187"/>
  <c r="C1187"/>
  <c r="B1187"/>
  <c r="D1186"/>
  <c r="C1186"/>
  <c r="B1186"/>
  <c r="D1185"/>
  <c r="C1185"/>
  <c r="B1185"/>
  <c r="D1184"/>
  <c r="C1184"/>
  <c r="B1184"/>
  <c r="D1183"/>
  <c r="C1183"/>
  <c r="B1183"/>
  <c r="D1182"/>
  <c r="C1182"/>
  <c r="B1182"/>
  <c r="D1181"/>
  <c r="C1181"/>
  <c r="B1181"/>
  <c r="D1180"/>
  <c r="C1180"/>
  <c r="B1180"/>
  <c r="D1179"/>
  <c r="C1179"/>
  <c r="B1179"/>
  <c r="D1178"/>
  <c r="C1178"/>
  <c r="B1178"/>
  <c r="D1177"/>
  <c r="C1177"/>
  <c r="B1177"/>
  <c r="D1176"/>
  <c r="C1176"/>
  <c r="B1176"/>
  <c r="D1175"/>
  <c r="C1175"/>
  <c r="B1175"/>
  <c r="D1174"/>
  <c r="C1174"/>
  <c r="B1174"/>
  <c r="D1173"/>
  <c r="C1173"/>
  <c r="B1173"/>
  <c r="D1172"/>
  <c r="C1172"/>
  <c r="B1172"/>
  <c r="D1171"/>
  <c r="C1171"/>
  <c r="B1171"/>
  <c r="D1170"/>
  <c r="C1170"/>
  <c r="B1170"/>
  <c r="D1169"/>
  <c r="C1169"/>
  <c r="B1169"/>
  <c r="D1168"/>
  <c r="C1168"/>
  <c r="B1168"/>
  <c r="D1167"/>
  <c r="C1167"/>
  <c r="B1167"/>
  <c r="D1166"/>
  <c r="C1166"/>
  <c r="B1166"/>
  <c r="D1165"/>
  <c r="C1165"/>
  <c r="B1165"/>
  <c r="D1164"/>
  <c r="C1164"/>
  <c r="B1164"/>
  <c r="D1163"/>
  <c r="C1163"/>
  <c r="B1163"/>
  <c r="D1162"/>
  <c r="C1162"/>
  <c r="B1162"/>
  <c r="D1161"/>
  <c r="C1161"/>
  <c r="B1161"/>
  <c r="D1160"/>
  <c r="C1160"/>
  <c r="B1160"/>
  <c r="D1159"/>
  <c r="C1159"/>
  <c r="B1159"/>
  <c r="D1158"/>
  <c r="C1158"/>
  <c r="B1158"/>
  <c r="D1157"/>
  <c r="C1157"/>
  <c r="B1157"/>
  <c r="D1156"/>
  <c r="C1156"/>
  <c r="B1156"/>
  <c r="D1155"/>
  <c r="C1155"/>
  <c r="B1155"/>
  <c r="D1154"/>
  <c r="C1154"/>
  <c r="B1154"/>
  <c r="D1153"/>
  <c r="C1153"/>
  <c r="B1153"/>
  <c r="D1152"/>
  <c r="C1152"/>
  <c r="B1152"/>
  <c r="D1151"/>
  <c r="C1151"/>
  <c r="B1151"/>
  <c r="D1150"/>
  <c r="C1150"/>
  <c r="B1150"/>
  <c r="D1149"/>
  <c r="C1149"/>
  <c r="B1149"/>
  <c r="D1148"/>
  <c r="C1148"/>
  <c r="B1148"/>
  <c r="D1147"/>
  <c r="C1147"/>
  <c r="B1147"/>
  <c r="D1146"/>
  <c r="C1146"/>
  <c r="B1146"/>
  <c r="D1145"/>
  <c r="C1145"/>
  <c r="B1145"/>
  <c r="D1144"/>
  <c r="C1144"/>
  <c r="B1144"/>
  <c r="D1143"/>
  <c r="C1143"/>
  <c r="B1143"/>
  <c r="D1142"/>
  <c r="C1142"/>
  <c r="B1142"/>
  <c r="D1141"/>
  <c r="C1141"/>
  <c r="B1141"/>
  <c r="D1140"/>
  <c r="C1140"/>
  <c r="B1140"/>
  <c r="D1139"/>
  <c r="C1139"/>
  <c r="B1139"/>
  <c r="D1138"/>
  <c r="C1138"/>
  <c r="B1138"/>
  <c r="D1137"/>
  <c r="C1137"/>
  <c r="B1137"/>
  <c r="D1136"/>
  <c r="C1136"/>
  <c r="B1136"/>
  <c r="D1135"/>
  <c r="C1135"/>
  <c r="B1135"/>
  <c r="D1134"/>
  <c r="C1134"/>
  <c r="B1134"/>
  <c r="D1133"/>
  <c r="C1133"/>
  <c r="B1133"/>
  <c r="D1132"/>
  <c r="C1132"/>
  <c r="B1132"/>
  <c r="D1131"/>
  <c r="C1131"/>
  <c r="B1131"/>
  <c r="D1130"/>
  <c r="C1130"/>
  <c r="B1130"/>
  <c r="D1129"/>
  <c r="C1129"/>
  <c r="B1129"/>
  <c r="D1128"/>
  <c r="C1128"/>
  <c r="B1128"/>
  <c r="D1127"/>
  <c r="C1127"/>
  <c r="B1127"/>
  <c r="D1126"/>
  <c r="C1126"/>
  <c r="B1126"/>
  <c r="D1125"/>
  <c r="C1125"/>
  <c r="B1125"/>
  <c r="D1124"/>
  <c r="C1124"/>
  <c r="B1124"/>
  <c r="D1123"/>
  <c r="C1123"/>
  <c r="B1123"/>
  <c r="D1122"/>
  <c r="C1122"/>
  <c r="B1122"/>
  <c r="D1121"/>
  <c r="C1121"/>
  <c r="B1121"/>
  <c r="D1120"/>
  <c r="C1120"/>
  <c r="B1120"/>
  <c r="D1119"/>
  <c r="C1119"/>
  <c r="B1119"/>
  <c r="D1118"/>
  <c r="C1118"/>
  <c r="B1118"/>
  <c r="D1117"/>
  <c r="C1117"/>
  <c r="B1117"/>
  <c r="D1116"/>
  <c r="C1116"/>
  <c r="B1116"/>
  <c r="D1115"/>
  <c r="C1115"/>
  <c r="B1115"/>
  <c r="D1114"/>
  <c r="C1114"/>
  <c r="B1114"/>
  <c r="D1113"/>
  <c r="C1113"/>
  <c r="B1113"/>
  <c r="D1112"/>
  <c r="C1112"/>
  <c r="B1112"/>
  <c r="D1111"/>
  <c r="C1111"/>
  <c r="B1111"/>
  <c r="D1110"/>
  <c r="C1110"/>
  <c r="B1110"/>
  <c r="D1109"/>
  <c r="C1109"/>
  <c r="B1109"/>
  <c r="D1108"/>
  <c r="C1108"/>
  <c r="B1108"/>
  <c r="D1107"/>
  <c r="C1107"/>
  <c r="B1107"/>
  <c r="D1106"/>
  <c r="C1106"/>
  <c r="B1106"/>
  <c r="D1105"/>
  <c r="C1105"/>
  <c r="B1105"/>
  <c r="D1104"/>
  <c r="C1104"/>
  <c r="B1104"/>
  <c r="D1103"/>
  <c r="C1103"/>
  <c r="B1103"/>
  <c r="D1102"/>
  <c r="C1102"/>
  <c r="B1102"/>
  <c r="D1101"/>
  <c r="C1101"/>
  <c r="B1101"/>
  <c r="D1100"/>
  <c r="C1100"/>
  <c r="B1100"/>
  <c r="D1099"/>
  <c r="C1099"/>
  <c r="B1099"/>
  <c r="D1098"/>
  <c r="C1098"/>
  <c r="B1098"/>
  <c r="D1097"/>
  <c r="C1097"/>
  <c r="B1097"/>
  <c r="D1096"/>
  <c r="C1096"/>
  <c r="B1096"/>
  <c r="D1095"/>
  <c r="C1095"/>
  <c r="B1095"/>
  <c r="D1094"/>
  <c r="C1094"/>
  <c r="B1094"/>
  <c r="D1093"/>
  <c r="C1093"/>
  <c r="B1093"/>
  <c r="D1092"/>
  <c r="C1092"/>
  <c r="B1092"/>
  <c r="D1091"/>
  <c r="C1091"/>
  <c r="B1091"/>
  <c r="D1090"/>
  <c r="C1090"/>
  <c r="B1090"/>
  <c r="D1089"/>
  <c r="C1089"/>
  <c r="B1089"/>
  <c r="D1088"/>
  <c r="C1088"/>
  <c r="B1088"/>
  <c r="D1087"/>
  <c r="C1087"/>
  <c r="B1087"/>
  <c r="D1086"/>
  <c r="C1086"/>
  <c r="B1086"/>
  <c r="D1085"/>
  <c r="C1085"/>
  <c r="B1085"/>
  <c r="D1084"/>
  <c r="C1084"/>
  <c r="B1084"/>
  <c r="D1083"/>
  <c r="C1083"/>
  <c r="B1083"/>
  <c r="D1082"/>
  <c r="C1082"/>
  <c r="B1082"/>
  <c r="D1081"/>
  <c r="C1081"/>
  <c r="B1081"/>
  <c r="D1080"/>
  <c r="C1080"/>
  <c r="B1080"/>
  <c r="D1079"/>
  <c r="C1079"/>
  <c r="B1079"/>
  <c r="D1078"/>
  <c r="C1078"/>
  <c r="B1078"/>
  <c r="D1077"/>
  <c r="C1077"/>
  <c r="B1077"/>
  <c r="D1076"/>
  <c r="C1076"/>
  <c r="B1076"/>
  <c r="D1075"/>
  <c r="C1075"/>
  <c r="B1075"/>
  <c r="D1074"/>
  <c r="C1074"/>
  <c r="B1074"/>
  <c r="D1073"/>
  <c r="C1073"/>
  <c r="B1073"/>
  <c r="D1072"/>
  <c r="C1072"/>
  <c r="B1072"/>
  <c r="D1071"/>
  <c r="C1071"/>
  <c r="B1071"/>
  <c r="D1070"/>
  <c r="C1070"/>
  <c r="B1070"/>
  <c r="D1069"/>
  <c r="C1069"/>
  <c r="B1069"/>
  <c r="D1068"/>
  <c r="C1068"/>
  <c r="B1068"/>
  <c r="D1067"/>
  <c r="C1067"/>
  <c r="B1067"/>
  <c r="D1066"/>
  <c r="C1066"/>
  <c r="B1066"/>
  <c r="D1065"/>
  <c r="C1065"/>
  <c r="B1065"/>
  <c r="D1064"/>
  <c r="C1064"/>
  <c r="B1064"/>
  <c r="D1063"/>
  <c r="C1063"/>
  <c r="B1063"/>
  <c r="D1062"/>
  <c r="C1062"/>
  <c r="B1062"/>
  <c r="D1061"/>
  <c r="C1061"/>
  <c r="B1061"/>
  <c r="D1060"/>
  <c r="C1060"/>
  <c r="B1060"/>
  <c r="D1059"/>
  <c r="C1059"/>
  <c r="B1059"/>
  <c r="D1058"/>
  <c r="C1058"/>
  <c r="B1058"/>
  <c r="D1057"/>
  <c r="C1057"/>
  <c r="B1057"/>
  <c r="D1056"/>
  <c r="C1056"/>
  <c r="B1056"/>
  <c r="D1055"/>
  <c r="C1055"/>
  <c r="B1055"/>
  <c r="D1054"/>
  <c r="C1054"/>
  <c r="B1054"/>
  <c r="D1053"/>
  <c r="C1053"/>
  <c r="B1053"/>
  <c r="D1052"/>
  <c r="C1052"/>
  <c r="B1052"/>
  <c r="D1051"/>
  <c r="C1051"/>
  <c r="B1051"/>
  <c r="D1050"/>
  <c r="C1050"/>
  <c r="B1050"/>
  <c r="D1049"/>
  <c r="C1049"/>
  <c r="B1049"/>
  <c r="D1048"/>
  <c r="C1048"/>
  <c r="B1048"/>
  <c r="D1047"/>
  <c r="C1047"/>
  <c r="B1047"/>
  <c r="D1046"/>
  <c r="C1046"/>
  <c r="B1046"/>
  <c r="D1045"/>
  <c r="C1045"/>
  <c r="B1045"/>
  <c r="D1044"/>
  <c r="C1044"/>
  <c r="B1044"/>
  <c r="D1043"/>
  <c r="C1043"/>
  <c r="B1043"/>
  <c r="D1042"/>
  <c r="C1042"/>
  <c r="B1042"/>
  <c r="D1041"/>
  <c r="C1041"/>
  <c r="B1041"/>
  <c r="D1040"/>
  <c r="C1040"/>
  <c r="B1040"/>
  <c r="D1039"/>
  <c r="C1039"/>
  <c r="B1039"/>
  <c r="D1038"/>
  <c r="C1038"/>
  <c r="B1038"/>
  <c r="D1037"/>
  <c r="C1037"/>
  <c r="B1037"/>
  <c r="D1036"/>
  <c r="C1036"/>
  <c r="B1036"/>
  <c r="D1035"/>
  <c r="C1035"/>
  <c r="B1035"/>
  <c r="D1034"/>
  <c r="C1034"/>
  <c r="B1034"/>
  <c r="D1033"/>
  <c r="C1033"/>
  <c r="B1033"/>
  <c r="D1032"/>
  <c r="C1032"/>
  <c r="B1032"/>
  <c r="D1031"/>
  <c r="C1031"/>
  <c r="B1031"/>
  <c r="D1030"/>
  <c r="C1030"/>
  <c r="B1030"/>
  <c r="D1029"/>
  <c r="C1029"/>
  <c r="B1029"/>
  <c r="D1028"/>
  <c r="C1028"/>
  <c r="B1028"/>
  <c r="D1027"/>
  <c r="C1027"/>
  <c r="B1027"/>
  <c r="D1026"/>
  <c r="C1026"/>
  <c r="B1026"/>
  <c r="D1025"/>
  <c r="C1025"/>
  <c r="B1025"/>
  <c r="D1024"/>
  <c r="C1024"/>
  <c r="B1024"/>
  <c r="D1023"/>
  <c r="C1023"/>
  <c r="B1023"/>
  <c r="D1022"/>
  <c r="C1022"/>
  <c r="B1022"/>
  <c r="D1021"/>
  <c r="C1021"/>
  <c r="B1021"/>
  <c r="D1020"/>
  <c r="C1020"/>
  <c r="B1020"/>
  <c r="D1019"/>
  <c r="C1019"/>
  <c r="B1019"/>
  <c r="D1018"/>
  <c r="C1018"/>
  <c r="B1018"/>
  <c r="D1017"/>
  <c r="C1017"/>
  <c r="B1017"/>
  <c r="D1016"/>
  <c r="C1016"/>
  <c r="B1016"/>
  <c r="D1015"/>
  <c r="C1015"/>
  <c r="B1015"/>
  <c r="D1014"/>
  <c r="C1014"/>
  <c r="B1014"/>
  <c r="D1013"/>
  <c r="C1013"/>
  <c r="B1013"/>
  <c r="D1012"/>
  <c r="C1012"/>
  <c r="B1012"/>
  <c r="D1011"/>
  <c r="C1011"/>
  <c r="B1011"/>
  <c r="D1010"/>
  <c r="C1010"/>
  <c r="B1010"/>
  <c r="D1009"/>
  <c r="C1009"/>
  <c r="B1009"/>
  <c r="D1008"/>
  <c r="C1008"/>
  <c r="B1008"/>
  <c r="D1007"/>
  <c r="C1007"/>
  <c r="B1007"/>
  <c r="D1006"/>
  <c r="C1006"/>
  <c r="B1006"/>
  <c r="D1005"/>
  <c r="C1005"/>
  <c r="B1005"/>
  <c r="D1004"/>
  <c r="C1004"/>
  <c r="B1004"/>
  <c r="D1003"/>
  <c r="C1003"/>
  <c r="B1003"/>
  <c r="D1002"/>
  <c r="C1002"/>
  <c r="B1002"/>
  <c r="D1001"/>
  <c r="C1001"/>
  <c r="B1001"/>
  <c r="D1000"/>
  <c r="C1000"/>
  <c r="B1000"/>
  <c r="D999"/>
  <c r="C999"/>
  <c r="B999"/>
  <c r="D998"/>
  <c r="C998"/>
  <c r="B998"/>
  <c r="D997"/>
  <c r="C997"/>
  <c r="B997"/>
  <c r="D996"/>
  <c r="C996"/>
  <c r="B996"/>
  <c r="D995"/>
  <c r="C995"/>
  <c r="B995"/>
  <c r="D994"/>
  <c r="C994"/>
  <c r="B994"/>
  <c r="D993"/>
  <c r="C993"/>
  <c r="B993"/>
  <c r="D992"/>
  <c r="C992"/>
  <c r="B992"/>
  <c r="D991"/>
  <c r="C991"/>
  <c r="B991"/>
  <c r="D990"/>
  <c r="C990"/>
  <c r="B990"/>
  <c r="D989"/>
  <c r="C989"/>
  <c r="B989"/>
  <c r="D988"/>
  <c r="C988"/>
  <c r="B988"/>
  <c r="D987"/>
  <c r="C987"/>
  <c r="B987"/>
  <c r="D986"/>
  <c r="C986"/>
  <c r="B986"/>
  <c r="D985"/>
  <c r="C985"/>
  <c r="B985"/>
  <c r="D984"/>
  <c r="C984"/>
  <c r="B984"/>
  <c r="D983"/>
  <c r="C983"/>
  <c r="B983"/>
  <c r="D982"/>
  <c r="C982"/>
  <c r="B982"/>
  <c r="D981"/>
  <c r="C981"/>
  <c r="B981"/>
  <c r="D980"/>
  <c r="C980"/>
  <c r="B980"/>
  <c r="D979"/>
  <c r="C979"/>
  <c r="B979"/>
  <c r="D978"/>
  <c r="C978"/>
  <c r="B978"/>
  <c r="D977"/>
  <c r="C977"/>
  <c r="B977"/>
  <c r="D976"/>
  <c r="C976"/>
  <c r="B976"/>
  <c r="D975"/>
  <c r="C975"/>
  <c r="B975"/>
  <c r="D974"/>
  <c r="C974"/>
  <c r="B974"/>
  <c r="D973"/>
  <c r="C973"/>
  <c r="B973"/>
  <c r="D972"/>
  <c r="C972"/>
  <c r="B972"/>
  <c r="D971"/>
  <c r="C971"/>
  <c r="B971"/>
  <c r="D970"/>
  <c r="C970"/>
  <c r="B970"/>
  <c r="D969"/>
  <c r="C969"/>
  <c r="B969"/>
  <c r="D968"/>
  <c r="C968"/>
  <c r="B968"/>
  <c r="D967"/>
  <c r="C967"/>
  <c r="B967"/>
  <c r="D966"/>
  <c r="C966"/>
  <c r="B966"/>
  <c r="D965"/>
  <c r="C965"/>
  <c r="B965"/>
  <c r="D964"/>
  <c r="C964"/>
  <c r="B964"/>
  <c r="D963"/>
  <c r="C963"/>
  <c r="B963"/>
  <c r="D962"/>
  <c r="C962"/>
  <c r="B962"/>
  <c r="D961"/>
  <c r="C961"/>
  <c r="B961"/>
  <c r="D960"/>
  <c r="C960"/>
  <c r="B960"/>
  <c r="D959"/>
  <c r="C959"/>
  <c r="B959"/>
  <c r="D958"/>
  <c r="C958"/>
  <c r="B958"/>
  <c r="D957"/>
  <c r="C957"/>
  <c r="B957"/>
  <c r="D956"/>
  <c r="C956"/>
  <c r="B956"/>
  <c r="D955"/>
  <c r="C955"/>
  <c r="B955"/>
  <c r="D954"/>
  <c r="C954"/>
  <c r="B954"/>
  <c r="D953"/>
  <c r="C953"/>
  <c r="B953"/>
  <c r="D952"/>
  <c r="C952"/>
  <c r="B952"/>
  <c r="D951"/>
  <c r="C951"/>
  <c r="B951"/>
  <c r="D950"/>
  <c r="C950"/>
  <c r="B950"/>
  <c r="D949"/>
  <c r="C949"/>
  <c r="B949"/>
  <c r="D948"/>
  <c r="C948"/>
  <c r="B948"/>
  <c r="D947"/>
  <c r="C947"/>
  <c r="B947"/>
  <c r="D946"/>
  <c r="C946"/>
  <c r="B946"/>
  <c r="D945"/>
  <c r="C945"/>
  <c r="B945"/>
  <c r="D944"/>
  <c r="C944"/>
  <c r="B944"/>
  <c r="D943"/>
  <c r="C943"/>
  <c r="B943"/>
  <c r="D942"/>
  <c r="C942"/>
  <c r="B942"/>
  <c r="D941"/>
  <c r="C941"/>
  <c r="B941"/>
  <c r="D940"/>
  <c r="C940"/>
  <c r="B940"/>
  <c r="D939"/>
  <c r="C939"/>
  <c r="B939"/>
  <c r="D938"/>
  <c r="C938"/>
  <c r="B938"/>
  <c r="D937"/>
  <c r="C937"/>
  <c r="B937"/>
  <c r="D936"/>
  <c r="C936"/>
  <c r="B936"/>
  <c r="D935"/>
  <c r="C935"/>
  <c r="B935"/>
  <c r="D934"/>
  <c r="C934"/>
  <c r="B934"/>
  <c r="D933"/>
  <c r="C933"/>
  <c r="B933"/>
  <c r="D932"/>
  <c r="C932"/>
  <c r="B932"/>
  <c r="D931"/>
  <c r="C931"/>
  <c r="B931"/>
  <c r="D930"/>
  <c r="C930"/>
  <c r="B930"/>
  <c r="D929"/>
  <c r="C929"/>
  <c r="B929"/>
  <c r="D928"/>
  <c r="C928"/>
  <c r="B928"/>
  <c r="D927"/>
  <c r="C927"/>
  <c r="B927"/>
  <c r="D926"/>
  <c r="C926"/>
  <c r="B926"/>
  <c r="D925"/>
  <c r="C925"/>
  <c r="B925"/>
  <c r="D924"/>
  <c r="C924"/>
  <c r="B924"/>
  <c r="D923"/>
  <c r="C923"/>
  <c r="B923"/>
  <c r="D922"/>
  <c r="C922"/>
  <c r="B922"/>
  <c r="D921"/>
  <c r="C921"/>
  <c r="B921"/>
  <c r="D920"/>
  <c r="C920"/>
  <c r="B920"/>
  <c r="D919"/>
  <c r="C919"/>
  <c r="B919"/>
  <c r="D918"/>
  <c r="C918"/>
  <c r="B918"/>
  <c r="D917"/>
  <c r="C917"/>
  <c r="B917"/>
  <c r="D916"/>
  <c r="C916"/>
  <c r="B916"/>
  <c r="D915"/>
  <c r="C915"/>
  <c r="B915"/>
  <c r="D914"/>
  <c r="C914"/>
  <c r="B914"/>
  <c r="D913"/>
  <c r="C913"/>
  <c r="B913"/>
  <c r="D912"/>
  <c r="C912"/>
  <c r="B912"/>
  <c r="D911"/>
  <c r="C911"/>
  <c r="B911"/>
  <c r="D910"/>
  <c r="C910"/>
  <c r="B910"/>
  <c r="D909"/>
  <c r="C909"/>
  <c r="B909"/>
  <c r="D908"/>
  <c r="C908"/>
  <c r="B908"/>
  <c r="D907"/>
  <c r="C907"/>
  <c r="B907"/>
  <c r="D906"/>
  <c r="C906"/>
  <c r="B906"/>
  <c r="D905"/>
  <c r="C905"/>
  <c r="B905"/>
  <c r="D904"/>
  <c r="C904"/>
  <c r="B904"/>
  <c r="D903"/>
  <c r="C903"/>
  <c r="B903"/>
  <c r="D902"/>
  <c r="C902"/>
  <c r="B902"/>
  <c r="D901"/>
  <c r="C901"/>
  <c r="B901"/>
  <c r="D900"/>
  <c r="C900"/>
  <c r="B900"/>
  <c r="D899"/>
  <c r="C899"/>
  <c r="B899"/>
  <c r="D898"/>
  <c r="C898"/>
  <c r="B898"/>
  <c r="D897"/>
  <c r="C897"/>
  <c r="B897"/>
  <c r="D896"/>
  <c r="C896"/>
  <c r="B896"/>
  <c r="D895"/>
  <c r="C895"/>
  <c r="B895"/>
  <c r="D894"/>
  <c r="C894"/>
  <c r="B894"/>
  <c r="D893"/>
  <c r="C893"/>
  <c r="B893"/>
  <c r="D892"/>
  <c r="C892"/>
  <c r="B892"/>
  <c r="D891"/>
  <c r="C891"/>
  <c r="B891"/>
  <c r="D890"/>
  <c r="C890"/>
  <c r="B890"/>
  <c r="D889"/>
  <c r="C889"/>
  <c r="B889"/>
  <c r="D888"/>
  <c r="C888"/>
  <c r="B888"/>
  <c r="D887"/>
  <c r="C887"/>
  <c r="B887"/>
  <c r="D886"/>
  <c r="C886"/>
  <c r="B886"/>
  <c r="D885"/>
  <c r="C885"/>
  <c r="B885"/>
  <c r="D884"/>
  <c r="C884"/>
  <c r="B884"/>
  <c r="D883"/>
  <c r="C883"/>
  <c r="B883"/>
  <c r="D882"/>
  <c r="C882"/>
  <c r="B882"/>
  <c r="D881"/>
  <c r="C881"/>
  <c r="B881"/>
  <c r="D880"/>
  <c r="C880"/>
  <c r="B880"/>
  <c r="D879"/>
  <c r="C879"/>
  <c r="B879"/>
  <c r="D878"/>
  <c r="C878"/>
  <c r="B878"/>
  <c r="D877"/>
  <c r="C877"/>
  <c r="B877"/>
  <c r="D876"/>
  <c r="C876"/>
  <c r="B876"/>
  <c r="D875"/>
  <c r="C875"/>
  <c r="B875"/>
  <c r="D874"/>
  <c r="C874"/>
  <c r="B874"/>
  <c r="D873"/>
  <c r="C873"/>
  <c r="B873"/>
  <c r="D872"/>
  <c r="C872"/>
  <c r="B872"/>
  <c r="D871"/>
  <c r="C871"/>
  <c r="B871"/>
  <c r="D870"/>
  <c r="C870"/>
  <c r="B870"/>
  <c r="D869"/>
  <c r="C869"/>
  <c r="B869"/>
  <c r="D868"/>
  <c r="C868"/>
  <c r="B868"/>
  <c r="D867"/>
  <c r="C867"/>
  <c r="B867"/>
  <c r="D866"/>
  <c r="C866"/>
  <c r="B866"/>
  <c r="D865"/>
  <c r="C865"/>
  <c r="B865"/>
  <c r="D864"/>
  <c r="C864"/>
  <c r="B864"/>
  <c r="D863"/>
  <c r="C863"/>
  <c r="B863"/>
  <c r="D862"/>
  <c r="C862"/>
  <c r="B862"/>
  <c r="D861"/>
  <c r="C861"/>
  <c r="B861"/>
  <c r="D860"/>
  <c r="C860"/>
  <c r="B860"/>
  <c r="D859"/>
  <c r="C859"/>
  <c r="B859"/>
  <c r="D858"/>
  <c r="C858"/>
  <c r="B858"/>
  <c r="D857"/>
  <c r="C857"/>
  <c r="B857"/>
  <c r="D856"/>
  <c r="C856"/>
  <c r="B856"/>
  <c r="D855"/>
  <c r="C855"/>
  <c r="B855"/>
  <c r="D854"/>
  <c r="C854"/>
  <c r="B854"/>
  <c r="D853"/>
  <c r="C853"/>
  <c r="B853"/>
  <c r="D852"/>
  <c r="C852"/>
  <c r="B852"/>
  <c r="D851"/>
  <c r="C851"/>
  <c r="B851"/>
  <c r="D850"/>
  <c r="C850"/>
  <c r="B850"/>
  <c r="D849"/>
  <c r="C849"/>
  <c r="B849"/>
  <c r="D848"/>
  <c r="C848"/>
  <c r="B848"/>
  <c r="D847"/>
  <c r="C847"/>
  <c r="B847"/>
  <c r="D846"/>
  <c r="C846"/>
  <c r="B846"/>
  <c r="D845"/>
  <c r="C845"/>
  <c r="B845"/>
  <c r="D844"/>
  <c r="C844"/>
  <c r="B844"/>
  <c r="D843"/>
  <c r="C843"/>
  <c r="B843"/>
  <c r="D842"/>
  <c r="C842"/>
  <c r="B842"/>
  <c r="D841"/>
  <c r="C841"/>
  <c r="B841"/>
  <c r="D840"/>
  <c r="C840"/>
  <c r="B840"/>
  <c r="D839"/>
  <c r="C839"/>
  <c r="B839"/>
  <c r="D838"/>
  <c r="C838"/>
  <c r="B838"/>
  <c r="D837"/>
  <c r="C837"/>
  <c r="B837"/>
  <c r="D836"/>
  <c r="C836"/>
  <c r="B836"/>
  <c r="D835"/>
  <c r="C835"/>
  <c r="B835"/>
  <c r="D834"/>
  <c r="C834"/>
  <c r="B834"/>
  <c r="D833"/>
  <c r="C833"/>
  <c r="B833"/>
  <c r="D832"/>
  <c r="C832"/>
  <c r="B832"/>
  <c r="D831"/>
  <c r="C831"/>
  <c r="B831"/>
  <c r="D830"/>
  <c r="C830"/>
  <c r="B830"/>
  <c r="D829"/>
  <c r="C829"/>
  <c r="B829"/>
  <c r="D828"/>
  <c r="C828"/>
  <c r="B828"/>
  <c r="D827"/>
  <c r="C827"/>
  <c r="B827"/>
  <c r="D826"/>
  <c r="C826"/>
  <c r="B826"/>
  <c r="D825"/>
  <c r="C825"/>
  <c r="B825"/>
  <c r="D824"/>
  <c r="C824"/>
  <c r="B824"/>
  <c r="D823"/>
  <c r="C823"/>
  <c r="B823"/>
  <c r="D822"/>
  <c r="C822"/>
  <c r="B822"/>
  <c r="D821"/>
  <c r="C821"/>
  <c r="B821"/>
  <c r="D820"/>
  <c r="C820"/>
  <c r="B820"/>
  <c r="D819"/>
  <c r="C819"/>
  <c r="B819"/>
  <c r="D818"/>
  <c r="C818"/>
  <c r="B818"/>
  <c r="D817"/>
  <c r="C817"/>
  <c r="B817"/>
  <c r="D816"/>
  <c r="C816"/>
  <c r="B816"/>
  <c r="D815"/>
  <c r="C815"/>
  <c r="B815"/>
  <c r="D814"/>
  <c r="C814"/>
  <c r="B814"/>
  <c r="D813"/>
  <c r="C813"/>
  <c r="B813"/>
  <c r="D812"/>
  <c r="C812"/>
  <c r="B812"/>
  <c r="D811"/>
  <c r="C811"/>
  <c r="B811"/>
  <c r="D810"/>
  <c r="C810"/>
  <c r="B810"/>
  <c r="D809"/>
  <c r="C809"/>
  <c r="B809"/>
  <c r="D808"/>
  <c r="C808"/>
  <c r="B808"/>
  <c r="D807"/>
  <c r="C807"/>
  <c r="B807"/>
  <c r="D806"/>
  <c r="C806"/>
  <c r="B806"/>
  <c r="D805"/>
  <c r="C805"/>
  <c r="B805"/>
  <c r="D804"/>
  <c r="C804"/>
  <c r="B804"/>
  <c r="D803"/>
  <c r="C803"/>
  <c r="B803"/>
  <c r="D802"/>
  <c r="C802"/>
  <c r="B802"/>
  <c r="D801"/>
  <c r="C801"/>
  <c r="B801"/>
  <c r="D800"/>
  <c r="C800"/>
  <c r="B800"/>
  <c r="D799"/>
  <c r="C799"/>
  <c r="B799"/>
  <c r="D798"/>
  <c r="C798"/>
  <c r="B798"/>
  <c r="D797"/>
  <c r="C797"/>
  <c r="B797"/>
  <c r="D796"/>
  <c r="C796"/>
  <c r="B796"/>
  <c r="D795"/>
  <c r="C795"/>
  <c r="B795"/>
  <c r="D794"/>
  <c r="C794"/>
  <c r="B794"/>
  <c r="D793"/>
  <c r="C793"/>
  <c r="B793"/>
  <c r="D792"/>
  <c r="C792"/>
  <c r="B792"/>
  <c r="D791"/>
  <c r="C791"/>
  <c r="B791"/>
  <c r="D790"/>
  <c r="C790"/>
  <c r="B790"/>
  <c r="D789"/>
  <c r="C789"/>
  <c r="B789"/>
  <c r="D788"/>
  <c r="C788"/>
  <c r="B788"/>
  <c r="D787"/>
  <c r="C787"/>
  <c r="B787"/>
  <c r="D786"/>
  <c r="C786"/>
  <c r="B786"/>
  <c r="D785"/>
  <c r="C785"/>
  <c r="B785"/>
  <c r="D784"/>
  <c r="C784"/>
  <c r="B784"/>
  <c r="D783"/>
  <c r="C783"/>
  <c r="B783"/>
  <c r="D782"/>
  <c r="C782"/>
  <c r="B782"/>
  <c r="D781"/>
  <c r="C781"/>
  <c r="B781"/>
  <c r="D780"/>
  <c r="C780"/>
  <c r="B780"/>
  <c r="D779"/>
  <c r="C779"/>
  <c r="B779"/>
  <c r="D778"/>
  <c r="C778"/>
  <c r="B778"/>
  <c r="D777"/>
  <c r="C777"/>
  <c r="B777"/>
  <c r="D776"/>
  <c r="C776"/>
  <c r="B776"/>
  <c r="D775"/>
  <c r="C775"/>
  <c r="B775"/>
  <c r="D774"/>
  <c r="C774"/>
  <c r="B774"/>
  <c r="D773"/>
  <c r="C773"/>
  <c r="B773"/>
  <c r="D772"/>
  <c r="C772"/>
  <c r="B772"/>
  <c r="D771"/>
  <c r="C771"/>
  <c r="B771"/>
  <c r="D770"/>
  <c r="C770"/>
  <c r="B770"/>
  <c r="D769"/>
  <c r="C769"/>
  <c r="B769"/>
  <c r="D768"/>
  <c r="C768"/>
  <c r="B768"/>
  <c r="D767"/>
  <c r="C767"/>
  <c r="B767"/>
  <c r="D766"/>
  <c r="C766"/>
  <c r="B766"/>
  <c r="D765"/>
  <c r="C765"/>
  <c r="B765"/>
  <c r="D764"/>
  <c r="C764"/>
  <c r="B764"/>
  <c r="D763"/>
  <c r="C763"/>
  <c r="B763"/>
  <c r="D762"/>
  <c r="C762"/>
  <c r="B762"/>
  <c r="D761"/>
  <c r="C761"/>
  <c r="B761"/>
  <c r="D760"/>
  <c r="C760"/>
  <c r="B760"/>
  <c r="D759"/>
  <c r="C759"/>
  <c r="B759"/>
  <c r="D758"/>
  <c r="C758"/>
  <c r="B758"/>
  <c r="D757"/>
  <c r="C757"/>
  <c r="B757"/>
  <c r="D756"/>
  <c r="C756"/>
  <c r="B756"/>
  <c r="D755"/>
  <c r="C755"/>
  <c r="B755"/>
  <c r="D754"/>
  <c r="C754"/>
  <c r="B754"/>
  <c r="D753"/>
  <c r="C753"/>
  <c r="B753"/>
  <c r="D752"/>
  <c r="C752"/>
  <c r="B752"/>
  <c r="D751"/>
  <c r="C751"/>
  <c r="B751"/>
  <c r="D750"/>
  <c r="C750"/>
  <c r="B750"/>
  <c r="D749"/>
  <c r="C749"/>
  <c r="B749"/>
  <c r="D748"/>
  <c r="C748"/>
  <c r="B748"/>
  <c r="D747"/>
  <c r="C747"/>
  <c r="B747"/>
  <c r="D746"/>
  <c r="C746"/>
  <c r="B746"/>
  <c r="D745"/>
  <c r="C745"/>
  <c r="B745"/>
  <c r="D744"/>
  <c r="C744"/>
  <c r="B744"/>
  <c r="D743"/>
  <c r="C743"/>
  <c r="B743"/>
  <c r="D742"/>
  <c r="C742"/>
  <c r="B742"/>
  <c r="D741"/>
  <c r="C741"/>
  <c r="B741"/>
  <c r="D740"/>
  <c r="C740"/>
  <c r="B740"/>
  <c r="D739"/>
  <c r="C739"/>
  <c r="B739"/>
  <c r="D738"/>
  <c r="C738"/>
  <c r="B738"/>
  <c r="D737"/>
  <c r="C737"/>
  <c r="B737"/>
  <c r="D736"/>
  <c r="C736"/>
  <c r="B736"/>
  <c r="D735"/>
  <c r="C735"/>
  <c r="B735"/>
  <c r="D734"/>
  <c r="C734"/>
  <c r="B734"/>
  <c r="D733"/>
  <c r="C733"/>
  <c r="B733"/>
  <c r="D732"/>
  <c r="C732"/>
  <c r="B732"/>
  <c r="D731"/>
  <c r="C731"/>
  <c r="B731"/>
  <c r="D730"/>
  <c r="C730"/>
  <c r="B730"/>
  <c r="D729"/>
  <c r="C729"/>
  <c r="B729"/>
  <c r="D728"/>
  <c r="C728"/>
  <c r="B728"/>
  <c r="D727"/>
  <c r="C727"/>
  <c r="B727"/>
  <c r="D726"/>
  <c r="C726"/>
  <c r="B726"/>
  <c r="D725"/>
  <c r="C725"/>
  <c r="B725"/>
  <c r="D724"/>
  <c r="C724"/>
  <c r="B724"/>
  <c r="D723"/>
  <c r="C723"/>
  <c r="B723"/>
  <c r="D722"/>
  <c r="C722"/>
  <c r="B722"/>
  <c r="D721"/>
  <c r="C721"/>
  <c r="B721"/>
  <c r="D720"/>
  <c r="C720"/>
  <c r="B720"/>
  <c r="D719"/>
  <c r="C719"/>
  <c r="B719"/>
  <c r="D718"/>
  <c r="C718"/>
  <c r="B718"/>
  <c r="D717"/>
  <c r="C717"/>
  <c r="B717"/>
  <c r="D716"/>
  <c r="C716"/>
  <c r="B716"/>
  <c r="D715"/>
  <c r="C715"/>
  <c r="B715"/>
  <c r="D714"/>
  <c r="C714"/>
  <c r="B714"/>
  <c r="D713"/>
  <c r="C713"/>
  <c r="B713"/>
  <c r="D712"/>
  <c r="C712"/>
  <c r="B712"/>
  <c r="D711"/>
  <c r="C711"/>
  <c r="B711"/>
  <c r="D710"/>
  <c r="C710"/>
  <c r="B710"/>
  <c r="D709"/>
  <c r="C709"/>
  <c r="B709"/>
  <c r="D708"/>
  <c r="C708"/>
  <c r="B708"/>
  <c r="D707"/>
  <c r="C707"/>
  <c r="B707"/>
  <c r="D706"/>
  <c r="C706"/>
  <c r="B706"/>
  <c r="D705"/>
  <c r="C705"/>
  <c r="B705"/>
  <c r="D704"/>
  <c r="C704"/>
  <c r="B704"/>
  <c r="D703"/>
  <c r="C703"/>
  <c r="B703"/>
  <c r="D702"/>
  <c r="C702"/>
  <c r="B702"/>
  <c r="D701"/>
  <c r="C701"/>
  <c r="B701"/>
  <c r="D700"/>
  <c r="C700"/>
  <c r="B700"/>
  <c r="D699"/>
  <c r="C699"/>
  <c r="B699"/>
  <c r="D698"/>
  <c r="C698"/>
  <c r="B698"/>
  <c r="D697"/>
  <c r="C697"/>
  <c r="B697"/>
  <c r="D696"/>
  <c r="C696"/>
  <c r="B696"/>
  <c r="D695"/>
  <c r="C695"/>
  <c r="B695"/>
  <c r="D694"/>
  <c r="C694"/>
  <c r="B694"/>
  <c r="D693"/>
  <c r="C693"/>
  <c r="B693"/>
  <c r="D692"/>
  <c r="C692"/>
  <c r="B692"/>
  <c r="D691"/>
  <c r="C691"/>
  <c r="B691"/>
  <c r="D690"/>
  <c r="C690"/>
  <c r="B690"/>
  <c r="D689"/>
  <c r="C689"/>
  <c r="B689"/>
  <c r="D688"/>
  <c r="C688"/>
  <c r="B688"/>
  <c r="D687"/>
  <c r="C687"/>
  <c r="B687"/>
  <c r="D686"/>
  <c r="C686"/>
  <c r="B686"/>
  <c r="D685"/>
  <c r="C685"/>
  <c r="B685"/>
  <c r="D684"/>
  <c r="C684"/>
  <c r="B684"/>
  <c r="D683"/>
  <c r="C683"/>
  <c r="B683"/>
  <c r="D682"/>
  <c r="C682"/>
  <c r="B682"/>
  <c r="D681"/>
  <c r="C681"/>
  <c r="B681"/>
  <c r="D680"/>
  <c r="C680"/>
  <c r="B680"/>
  <c r="D679"/>
  <c r="C679"/>
  <c r="B679"/>
  <c r="D678"/>
  <c r="C678"/>
  <c r="B678"/>
  <c r="D677"/>
  <c r="C677"/>
  <c r="B677"/>
  <c r="D676"/>
  <c r="C676"/>
  <c r="B676"/>
  <c r="D675"/>
  <c r="C675"/>
  <c r="B675"/>
  <c r="D674"/>
  <c r="C674"/>
  <c r="B674"/>
  <c r="D673"/>
  <c r="C673"/>
  <c r="B673"/>
  <c r="D672"/>
  <c r="C672"/>
  <c r="B672"/>
  <c r="D671"/>
  <c r="C671"/>
  <c r="B671"/>
  <c r="D670"/>
  <c r="C670"/>
  <c r="B670"/>
  <c r="D669"/>
  <c r="C669"/>
  <c r="B669"/>
  <c r="D668"/>
  <c r="C668"/>
  <c r="B668"/>
  <c r="D667"/>
  <c r="C667"/>
  <c r="B667"/>
  <c r="D666"/>
  <c r="C666"/>
  <c r="B666"/>
  <c r="D665"/>
  <c r="C665"/>
  <c r="B665"/>
  <c r="D664"/>
  <c r="C664"/>
  <c r="B664"/>
  <c r="D663"/>
  <c r="C663"/>
  <c r="B663"/>
  <c r="D662"/>
  <c r="C662"/>
  <c r="B662"/>
  <c r="D661"/>
  <c r="C661"/>
  <c r="B661"/>
  <c r="D660"/>
  <c r="C660"/>
  <c r="B660"/>
  <c r="D659"/>
  <c r="C659"/>
  <c r="B659"/>
  <c r="D658"/>
  <c r="C658"/>
  <c r="B658"/>
  <c r="D657"/>
  <c r="C657"/>
  <c r="B657"/>
  <c r="D656"/>
  <c r="C656"/>
  <c r="B656"/>
  <c r="D655"/>
  <c r="C655"/>
  <c r="B655"/>
  <c r="D654"/>
  <c r="C654"/>
  <c r="B654"/>
  <c r="D653"/>
  <c r="C653"/>
  <c r="B653"/>
  <c r="D652"/>
  <c r="C652"/>
  <c r="B652"/>
  <c r="D651"/>
  <c r="C651"/>
  <c r="B651"/>
  <c r="D650"/>
  <c r="C650"/>
  <c r="B650"/>
  <c r="D649"/>
  <c r="C649"/>
  <c r="B649"/>
  <c r="D648"/>
  <c r="C648"/>
  <c r="B648"/>
  <c r="D647"/>
  <c r="C647"/>
  <c r="B647"/>
  <c r="D646"/>
  <c r="C646"/>
  <c r="B646"/>
  <c r="D645"/>
  <c r="C645"/>
  <c r="B645"/>
  <c r="D644"/>
  <c r="C644"/>
  <c r="B644"/>
  <c r="D643"/>
  <c r="C643"/>
  <c r="B643"/>
  <c r="D642"/>
  <c r="C642"/>
  <c r="B642"/>
  <c r="D641"/>
  <c r="C641"/>
  <c r="B641"/>
  <c r="D640"/>
  <c r="C640"/>
  <c r="B640"/>
  <c r="D639"/>
  <c r="C639"/>
  <c r="B639"/>
  <c r="D638"/>
  <c r="C638"/>
  <c r="B638"/>
  <c r="D637"/>
  <c r="C637"/>
  <c r="B637"/>
  <c r="D636"/>
  <c r="C636"/>
  <c r="B636"/>
  <c r="D635"/>
  <c r="C635"/>
  <c r="B635"/>
  <c r="D634"/>
  <c r="C634"/>
  <c r="B634"/>
  <c r="D633"/>
  <c r="C633"/>
  <c r="B633"/>
  <c r="D632"/>
  <c r="C632"/>
  <c r="B632"/>
  <c r="D631"/>
  <c r="C631"/>
  <c r="B631"/>
  <c r="D630"/>
  <c r="C630"/>
  <c r="B630"/>
  <c r="D629"/>
  <c r="C629"/>
  <c r="B629"/>
  <c r="D628"/>
  <c r="C628"/>
  <c r="B628"/>
  <c r="D627"/>
  <c r="C627"/>
  <c r="B627"/>
  <c r="D626"/>
  <c r="C626"/>
  <c r="B626"/>
  <c r="D625"/>
  <c r="C625"/>
  <c r="B625"/>
  <c r="D624"/>
  <c r="C624"/>
  <c r="B624"/>
  <c r="D623"/>
  <c r="C623"/>
  <c r="B623"/>
  <c r="D622"/>
  <c r="C622"/>
  <c r="B622"/>
  <c r="D621"/>
  <c r="C621"/>
  <c r="B621"/>
  <c r="D620"/>
  <c r="C620"/>
  <c r="B620"/>
  <c r="D619"/>
  <c r="C619"/>
  <c r="B619"/>
  <c r="D618"/>
  <c r="C618"/>
  <c r="B618"/>
  <c r="D617"/>
  <c r="C617"/>
  <c r="B617"/>
  <c r="D616"/>
  <c r="C616"/>
  <c r="B616"/>
  <c r="D615"/>
  <c r="C615"/>
  <c r="B615"/>
  <c r="D614"/>
  <c r="C614"/>
  <c r="B614"/>
  <c r="D613"/>
  <c r="C613"/>
  <c r="B613"/>
  <c r="D612"/>
  <c r="C612"/>
  <c r="B612"/>
  <c r="D611"/>
  <c r="C611"/>
  <c r="B611"/>
  <c r="D610"/>
  <c r="C610"/>
  <c r="B610"/>
  <c r="D609"/>
  <c r="C609"/>
  <c r="B609"/>
  <c r="D608"/>
  <c r="C608"/>
  <c r="B608"/>
  <c r="D607"/>
  <c r="C607"/>
  <c r="B607"/>
  <c r="D606"/>
  <c r="C606"/>
  <c r="B606"/>
  <c r="D605"/>
  <c r="C605"/>
  <c r="B605"/>
  <c r="D604"/>
  <c r="C604"/>
  <c r="B604"/>
  <c r="D603"/>
  <c r="C603"/>
  <c r="B603"/>
  <c r="D602"/>
  <c r="C602"/>
  <c r="B602"/>
  <c r="D601"/>
  <c r="C601"/>
  <c r="B601"/>
  <c r="D600"/>
  <c r="C600"/>
  <c r="B600"/>
  <c r="D599"/>
  <c r="C599"/>
  <c r="B599"/>
  <c r="D598"/>
  <c r="C598"/>
  <c r="B598"/>
  <c r="D597"/>
  <c r="C597"/>
  <c r="B597"/>
  <c r="D596"/>
  <c r="C596"/>
  <c r="B596"/>
  <c r="D595"/>
  <c r="C595"/>
  <c r="B595"/>
  <c r="D594"/>
  <c r="C594"/>
  <c r="B594"/>
  <c r="D593"/>
  <c r="C593"/>
  <c r="B593"/>
  <c r="D592"/>
  <c r="C592"/>
  <c r="B592"/>
  <c r="D591"/>
  <c r="C591"/>
  <c r="B591"/>
  <c r="D590"/>
  <c r="C590"/>
  <c r="B590"/>
  <c r="D589"/>
  <c r="C589"/>
  <c r="B589"/>
  <c r="D588"/>
  <c r="C588"/>
  <c r="B588"/>
  <c r="D587"/>
  <c r="C587"/>
  <c r="B587"/>
  <c r="D586"/>
  <c r="C586"/>
  <c r="B586"/>
  <c r="D585"/>
  <c r="C585"/>
  <c r="B585"/>
  <c r="D584"/>
  <c r="C584"/>
  <c r="B584"/>
  <c r="D583"/>
  <c r="C583"/>
  <c r="B583"/>
  <c r="D582"/>
  <c r="C582"/>
  <c r="B582"/>
  <c r="D581"/>
  <c r="C581"/>
  <c r="B581"/>
  <c r="D580"/>
  <c r="C580"/>
  <c r="B580"/>
  <c r="D579"/>
  <c r="C579"/>
  <c r="B579"/>
  <c r="D578"/>
  <c r="C578"/>
  <c r="B578"/>
  <c r="D577"/>
  <c r="C577"/>
  <c r="B577"/>
  <c r="D576"/>
  <c r="C576"/>
  <c r="B576"/>
  <c r="D575"/>
  <c r="C575"/>
  <c r="B575"/>
  <c r="D574"/>
  <c r="C574"/>
  <c r="B574"/>
  <c r="D573"/>
  <c r="C573"/>
  <c r="B573"/>
  <c r="D572"/>
  <c r="C572"/>
  <c r="B572"/>
  <c r="D571"/>
  <c r="C571"/>
  <c r="B571"/>
  <c r="D570"/>
  <c r="C570"/>
  <c r="B570"/>
  <c r="D569"/>
  <c r="C569"/>
  <c r="B569"/>
  <c r="D568"/>
  <c r="C568"/>
  <c r="B568"/>
  <c r="D567"/>
  <c r="C567"/>
  <c r="B567"/>
  <c r="D566"/>
  <c r="C566"/>
  <c r="B566"/>
  <c r="D565"/>
  <c r="C565"/>
  <c r="B565"/>
  <c r="D564"/>
  <c r="C564"/>
  <c r="B564"/>
  <c r="D563"/>
  <c r="C563"/>
  <c r="B563"/>
  <c r="D562"/>
  <c r="C562"/>
  <c r="B562"/>
  <c r="D561"/>
  <c r="C561"/>
  <c r="B561"/>
  <c r="D560"/>
  <c r="C560"/>
  <c r="B560"/>
  <c r="D559"/>
  <c r="C559"/>
  <c r="B559"/>
  <c r="D558"/>
  <c r="C558"/>
  <c r="B558"/>
  <c r="D557"/>
  <c r="C557"/>
  <c r="B557"/>
  <c r="D556"/>
  <c r="C556"/>
  <c r="B556"/>
  <c r="D555"/>
  <c r="C555"/>
  <c r="B555"/>
  <c r="D554"/>
  <c r="C554"/>
  <c r="B554"/>
  <c r="D553"/>
  <c r="C553"/>
  <c r="B553"/>
  <c r="D552"/>
  <c r="C552"/>
  <c r="B552"/>
  <c r="D551"/>
  <c r="C551"/>
  <c r="B551"/>
  <c r="D550"/>
  <c r="C550"/>
  <c r="B550"/>
  <c r="D549"/>
  <c r="C549"/>
  <c r="B549"/>
  <c r="D548"/>
  <c r="C548"/>
  <c r="B548"/>
  <c r="D547"/>
  <c r="C547"/>
  <c r="B547"/>
  <c r="D546"/>
  <c r="C546"/>
  <c r="B546"/>
  <c r="D545"/>
  <c r="C545"/>
  <c r="B545"/>
  <c r="D544"/>
  <c r="C544"/>
  <c r="B544"/>
  <c r="D543"/>
  <c r="C543"/>
  <c r="B543"/>
  <c r="D542"/>
  <c r="C542"/>
  <c r="B542"/>
  <c r="D541"/>
  <c r="C541"/>
  <c r="B541"/>
  <c r="D540"/>
  <c r="C540"/>
  <c r="B540"/>
  <c r="D539"/>
  <c r="C539"/>
  <c r="B539"/>
  <c r="D538"/>
  <c r="C538"/>
  <c r="B538"/>
  <c r="D537"/>
  <c r="C537"/>
  <c r="B537"/>
  <c r="D536"/>
  <c r="C536"/>
  <c r="B536"/>
  <c r="D535"/>
  <c r="C535"/>
  <c r="B535"/>
  <c r="D534"/>
  <c r="C534"/>
  <c r="B534"/>
  <c r="D533"/>
  <c r="C533"/>
  <c r="B533"/>
  <c r="D532"/>
  <c r="C532"/>
  <c r="B532"/>
  <c r="D531"/>
  <c r="C531"/>
  <c r="B531"/>
  <c r="D530"/>
  <c r="C530"/>
  <c r="B530"/>
  <c r="D529"/>
  <c r="C529"/>
  <c r="B529"/>
  <c r="D528"/>
  <c r="C528"/>
  <c r="B528"/>
  <c r="D527"/>
  <c r="C527"/>
  <c r="B527"/>
  <c r="D526"/>
  <c r="C526"/>
  <c r="B526"/>
  <c r="D525"/>
  <c r="C525"/>
  <c r="B525"/>
  <c r="D524"/>
  <c r="C524"/>
  <c r="B524"/>
  <c r="D523"/>
  <c r="C523"/>
  <c r="B523"/>
  <c r="D522"/>
  <c r="C522"/>
  <c r="B522"/>
  <c r="D521"/>
  <c r="C521"/>
  <c r="B521"/>
  <c r="D520"/>
  <c r="C520"/>
  <c r="B520"/>
  <c r="D519"/>
  <c r="C519"/>
  <c r="B519"/>
  <c r="D518"/>
  <c r="C518"/>
  <c r="B518"/>
  <c r="D517"/>
  <c r="C517"/>
  <c r="B517"/>
  <c r="D516"/>
  <c r="C516"/>
  <c r="B516"/>
  <c r="D515"/>
  <c r="C515"/>
  <c r="B515"/>
  <c r="D514"/>
  <c r="C514"/>
  <c r="B514"/>
  <c r="D513"/>
  <c r="C513"/>
  <c r="B513"/>
  <c r="D512"/>
  <c r="C512"/>
  <c r="B512"/>
  <c r="D511"/>
  <c r="C511"/>
  <c r="B511"/>
  <c r="D510"/>
  <c r="C510"/>
  <c r="B510"/>
  <c r="D509"/>
  <c r="C509"/>
  <c r="B509"/>
  <c r="D508"/>
  <c r="C508"/>
  <c r="B508"/>
  <c r="D507"/>
  <c r="C507"/>
  <c r="B507"/>
  <c r="D506"/>
  <c r="C506"/>
  <c r="B506"/>
  <c r="D505"/>
  <c r="C505"/>
  <c r="B505"/>
  <c r="D504"/>
  <c r="C504"/>
  <c r="B504"/>
  <c r="D503"/>
  <c r="C503"/>
  <c r="B503"/>
  <c r="D502"/>
  <c r="C502"/>
  <c r="B502"/>
  <c r="D501"/>
  <c r="C501"/>
  <c r="B501"/>
  <c r="D500"/>
  <c r="C500"/>
  <c r="B500"/>
  <c r="D499"/>
  <c r="C499"/>
  <c r="B499"/>
  <c r="D498"/>
  <c r="C498"/>
  <c r="B498"/>
  <c r="D497"/>
  <c r="C497"/>
  <c r="B497"/>
  <c r="D496"/>
  <c r="C496"/>
  <c r="B496"/>
  <c r="D495"/>
  <c r="C495"/>
  <c r="B495"/>
  <c r="D494"/>
  <c r="C494"/>
  <c r="B494"/>
  <c r="D493"/>
  <c r="C493"/>
  <c r="B493"/>
  <c r="D492"/>
  <c r="C492"/>
  <c r="B492"/>
  <c r="D491"/>
  <c r="C491"/>
  <c r="B491"/>
  <c r="D490"/>
  <c r="C490"/>
  <c r="B490"/>
  <c r="D489"/>
  <c r="C489"/>
  <c r="B489"/>
  <c r="D488"/>
  <c r="C488"/>
  <c r="B488"/>
  <c r="D487"/>
  <c r="C487"/>
  <c r="B487"/>
  <c r="D486"/>
  <c r="C486"/>
  <c r="B486"/>
  <c r="D485"/>
  <c r="C485"/>
  <c r="B485"/>
  <c r="D484"/>
  <c r="C484"/>
  <c r="B484"/>
  <c r="D483"/>
  <c r="C483"/>
  <c r="B483"/>
  <c r="D482"/>
  <c r="C482"/>
  <c r="B482"/>
  <c r="D481"/>
  <c r="C481"/>
  <c r="B481"/>
  <c r="D480"/>
  <c r="C480"/>
  <c r="B480"/>
  <c r="D479"/>
  <c r="C479"/>
  <c r="B479"/>
  <c r="D478"/>
  <c r="C478"/>
  <c r="B478"/>
  <c r="D477"/>
  <c r="C477"/>
  <c r="B477"/>
  <c r="D476"/>
  <c r="C476"/>
  <c r="B476"/>
  <c r="D475"/>
  <c r="C475"/>
  <c r="B475"/>
  <c r="D474"/>
  <c r="C474"/>
  <c r="B474"/>
  <c r="D473"/>
  <c r="C473"/>
  <c r="B473"/>
  <c r="D472"/>
  <c r="C472"/>
  <c r="B472"/>
  <c r="D471"/>
  <c r="C471"/>
  <c r="B471"/>
  <c r="D470"/>
  <c r="C470"/>
  <c r="B470"/>
  <c r="D469"/>
  <c r="C469"/>
  <c r="B469"/>
  <c r="D468"/>
  <c r="C468"/>
  <c r="B468"/>
  <c r="D467"/>
  <c r="C467"/>
  <c r="B467"/>
  <c r="D466"/>
  <c r="C466"/>
  <c r="B466"/>
  <c r="D465"/>
  <c r="C465"/>
  <c r="B465"/>
  <c r="D464"/>
  <c r="C464"/>
  <c r="B464"/>
  <c r="D463"/>
  <c r="C463"/>
  <c r="B463"/>
  <c r="D462"/>
  <c r="C462"/>
  <c r="B462"/>
  <c r="D461"/>
  <c r="C461"/>
  <c r="B461"/>
  <c r="D460"/>
  <c r="C460"/>
  <c r="B460"/>
  <c r="D459"/>
  <c r="C459"/>
  <c r="B459"/>
  <c r="D458"/>
  <c r="C458"/>
  <c r="B458"/>
  <c r="D457"/>
  <c r="C457"/>
  <c r="B457"/>
  <c r="D456"/>
  <c r="C456"/>
  <c r="B456"/>
  <c r="D455"/>
  <c r="C455"/>
  <c r="B455"/>
  <c r="D454"/>
  <c r="C454"/>
  <c r="B454"/>
  <c r="D453"/>
  <c r="C453"/>
  <c r="B453"/>
  <c r="D452"/>
  <c r="C452"/>
  <c r="B452"/>
  <c r="D451"/>
  <c r="C451"/>
  <c r="B451"/>
  <c r="D450"/>
  <c r="C450"/>
  <c r="B450"/>
  <c r="D449"/>
  <c r="C449"/>
  <c r="B449"/>
  <c r="D448"/>
  <c r="C448"/>
  <c r="B448"/>
  <c r="D447"/>
  <c r="C447"/>
  <c r="B447"/>
  <c r="D446"/>
  <c r="C446"/>
  <c r="B446"/>
  <c r="D445"/>
  <c r="C445"/>
  <c r="B445"/>
  <c r="D444"/>
  <c r="C444"/>
  <c r="B444"/>
  <c r="D443"/>
  <c r="C443"/>
  <c r="B443"/>
  <c r="D442"/>
  <c r="C442"/>
  <c r="B442"/>
  <c r="D441"/>
  <c r="C441"/>
  <c r="B441"/>
  <c r="D440"/>
  <c r="C440"/>
  <c r="B440"/>
  <c r="D439"/>
  <c r="C439"/>
  <c r="B439"/>
  <c r="D438"/>
  <c r="C438"/>
  <c r="B438"/>
  <c r="D437"/>
  <c r="C437"/>
  <c r="B437"/>
  <c r="D436"/>
  <c r="C436"/>
  <c r="B436"/>
  <c r="D435"/>
  <c r="C435"/>
  <c r="B435"/>
  <c r="D434"/>
  <c r="C434"/>
  <c r="B434"/>
  <c r="D433"/>
  <c r="C433"/>
  <c r="B433"/>
  <c r="D432"/>
  <c r="C432"/>
  <c r="B432"/>
  <c r="D431"/>
  <c r="C431"/>
  <c r="B431"/>
  <c r="D430"/>
  <c r="C430"/>
  <c r="B430"/>
  <c r="D429"/>
  <c r="C429"/>
  <c r="B429"/>
  <c r="D428"/>
  <c r="C428"/>
  <c r="B428"/>
  <c r="D427"/>
  <c r="C427"/>
  <c r="B427"/>
  <c r="D426"/>
  <c r="C426"/>
  <c r="B426"/>
  <c r="D425"/>
  <c r="C425"/>
  <c r="B425"/>
  <c r="D424"/>
  <c r="C424"/>
  <c r="B424"/>
  <c r="D423"/>
  <c r="C423"/>
  <c r="B423"/>
  <c r="D422"/>
  <c r="C422"/>
  <c r="B422"/>
  <c r="D421"/>
  <c r="C421"/>
  <c r="B421"/>
  <c r="D420"/>
  <c r="C420"/>
  <c r="B420"/>
  <c r="D419"/>
  <c r="C419"/>
  <c r="B419"/>
  <c r="D418"/>
  <c r="C418"/>
  <c r="B418"/>
  <c r="D417"/>
  <c r="C417"/>
  <c r="B417"/>
  <c r="D416"/>
  <c r="C416"/>
  <c r="B416"/>
  <c r="D415"/>
  <c r="C415"/>
  <c r="B415"/>
  <c r="D414"/>
  <c r="C414"/>
  <c r="B414"/>
  <c r="D413"/>
  <c r="C413"/>
  <c r="B413"/>
  <c r="D412"/>
  <c r="C412"/>
  <c r="B412"/>
  <c r="D411"/>
  <c r="C411"/>
  <c r="B411"/>
  <c r="D410"/>
  <c r="C410"/>
  <c r="B410"/>
  <c r="D409"/>
  <c r="C409"/>
  <c r="B409"/>
  <c r="D408"/>
  <c r="C408"/>
  <c r="B408"/>
  <c r="D407"/>
  <c r="C407"/>
  <c r="B407"/>
  <c r="D406"/>
  <c r="C406"/>
  <c r="B406"/>
  <c r="D405"/>
  <c r="C405"/>
  <c r="B405"/>
  <c r="D404"/>
  <c r="C404"/>
  <c r="B404"/>
  <c r="D403"/>
  <c r="C403"/>
  <c r="B403"/>
  <c r="D402"/>
  <c r="C402"/>
  <c r="B402"/>
  <c r="D401"/>
  <c r="C401"/>
  <c r="B401"/>
  <c r="D400"/>
  <c r="C400"/>
  <c r="B400"/>
  <c r="D399"/>
  <c r="C399"/>
  <c r="B399"/>
  <c r="D398"/>
  <c r="C398"/>
  <c r="B398"/>
  <c r="D397"/>
  <c r="C397"/>
  <c r="B397"/>
  <c r="D396"/>
  <c r="C396"/>
  <c r="B396"/>
  <c r="D395"/>
  <c r="C395"/>
  <c r="B395"/>
  <c r="D394"/>
  <c r="C394"/>
  <c r="B394"/>
  <c r="D393"/>
  <c r="C393"/>
  <c r="B393"/>
  <c r="D392"/>
  <c r="C392"/>
  <c r="B392"/>
  <c r="D391"/>
  <c r="C391"/>
  <c r="B391"/>
  <c r="D390"/>
  <c r="C390"/>
  <c r="B390"/>
  <c r="D389"/>
  <c r="C389"/>
  <c r="B389"/>
  <c r="D388"/>
  <c r="C388"/>
  <c r="B388"/>
  <c r="D387"/>
  <c r="C387"/>
  <c r="B387"/>
  <c r="D386"/>
  <c r="C386"/>
  <c r="B386"/>
  <c r="D385"/>
  <c r="C385"/>
  <c r="B385"/>
  <c r="D384"/>
  <c r="C384"/>
  <c r="B384"/>
  <c r="D383"/>
  <c r="C383"/>
  <c r="B383"/>
  <c r="D382"/>
  <c r="C382"/>
  <c r="B382"/>
  <c r="D381"/>
  <c r="C381"/>
  <c r="B381"/>
  <c r="D380"/>
  <c r="C380"/>
  <c r="B380"/>
  <c r="D379"/>
  <c r="C379"/>
  <c r="B379"/>
  <c r="D378"/>
  <c r="C378"/>
  <c r="B378"/>
  <c r="D377"/>
  <c r="C377"/>
  <c r="B377"/>
  <c r="D376"/>
  <c r="C376"/>
  <c r="B376"/>
  <c r="D375"/>
  <c r="C375"/>
  <c r="B375"/>
  <c r="D374"/>
  <c r="C374"/>
  <c r="B374"/>
  <c r="D373"/>
  <c r="C373"/>
  <c r="B373"/>
  <c r="D372"/>
  <c r="C372"/>
  <c r="B372"/>
  <c r="D371"/>
  <c r="C371"/>
  <c r="B371"/>
  <c r="D370"/>
  <c r="C370"/>
  <c r="B370"/>
  <c r="D369"/>
  <c r="C369"/>
  <c r="B369"/>
  <c r="D368"/>
  <c r="C368"/>
  <c r="B368"/>
  <c r="D367"/>
  <c r="C367"/>
  <c r="B367"/>
  <c r="D366"/>
  <c r="C366"/>
  <c r="B366"/>
  <c r="D365"/>
  <c r="C365"/>
  <c r="B365"/>
  <c r="D364"/>
  <c r="C364"/>
  <c r="B364"/>
  <c r="D363"/>
  <c r="C363"/>
  <c r="B363"/>
  <c r="D362"/>
  <c r="C362"/>
  <c r="B362"/>
  <c r="D361"/>
  <c r="C361"/>
  <c r="B361"/>
  <c r="D360"/>
  <c r="C360"/>
  <c r="B360"/>
  <c r="D359"/>
  <c r="C359"/>
  <c r="B359"/>
  <c r="D358"/>
  <c r="C358"/>
  <c r="B358"/>
  <c r="D357"/>
  <c r="C357"/>
  <c r="B357"/>
  <c r="D356"/>
  <c r="C356"/>
  <c r="B356"/>
  <c r="D355"/>
  <c r="C355"/>
  <c r="B355"/>
  <c r="D354"/>
  <c r="C354"/>
  <c r="B354"/>
  <c r="D353"/>
  <c r="C353"/>
  <c r="B353"/>
  <c r="D352"/>
  <c r="C352"/>
  <c r="B352"/>
  <c r="D351"/>
  <c r="C351"/>
  <c r="B351"/>
  <c r="D350"/>
  <c r="C350"/>
  <c r="B350"/>
  <c r="D349"/>
  <c r="C349"/>
  <c r="B349"/>
  <c r="D348"/>
  <c r="C348"/>
  <c r="B348"/>
  <c r="D347"/>
  <c r="C347"/>
  <c r="B347"/>
  <c r="D346"/>
  <c r="C346"/>
  <c r="B346"/>
  <c r="D345"/>
  <c r="C345"/>
  <c r="B345"/>
  <c r="D344"/>
  <c r="C344"/>
  <c r="B344"/>
  <c r="D343"/>
  <c r="C343"/>
  <c r="B343"/>
  <c r="D342"/>
  <c r="C342"/>
  <c r="B342"/>
  <c r="D341"/>
  <c r="C341"/>
  <c r="B341"/>
  <c r="D340"/>
  <c r="C340"/>
  <c r="B340"/>
  <c r="D339"/>
  <c r="C339"/>
  <c r="B339"/>
  <c r="D338"/>
  <c r="C338"/>
  <c r="B338"/>
  <c r="D337"/>
  <c r="C337"/>
  <c r="B337"/>
  <c r="D336"/>
  <c r="C336"/>
  <c r="B336"/>
  <c r="D335"/>
  <c r="C335"/>
  <c r="B335"/>
  <c r="D334"/>
  <c r="C334"/>
  <c r="B334"/>
  <c r="D333"/>
  <c r="C333"/>
  <c r="B333"/>
  <c r="D332"/>
  <c r="C332"/>
  <c r="B332"/>
  <c r="D331"/>
  <c r="C331"/>
  <c r="B331"/>
  <c r="D330"/>
  <c r="C330"/>
  <c r="B330"/>
  <c r="D329"/>
  <c r="C329"/>
  <c r="B329"/>
  <c r="D328"/>
  <c r="C328"/>
  <c r="B328"/>
  <c r="D327"/>
  <c r="C327"/>
  <c r="B327"/>
  <c r="D326"/>
  <c r="C326"/>
  <c r="B326"/>
  <c r="D325"/>
  <c r="C325"/>
  <c r="B325"/>
  <c r="D324"/>
  <c r="C324"/>
  <c r="B324"/>
  <c r="D323"/>
  <c r="C323"/>
  <c r="B323"/>
  <c r="D322"/>
  <c r="C322"/>
  <c r="B322"/>
  <c r="D321"/>
  <c r="C321"/>
  <c r="B321"/>
  <c r="D320"/>
  <c r="C320"/>
  <c r="B320"/>
  <c r="D319"/>
  <c r="C319"/>
  <c r="B319"/>
  <c r="D318"/>
  <c r="C318"/>
  <c r="B318"/>
  <c r="D317"/>
  <c r="C317"/>
  <c r="B317"/>
  <c r="D316"/>
  <c r="C316"/>
  <c r="B316"/>
  <c r="D315"/>
  <c r="C315"/>
  <c r="B315"/>
  <c r="D314"/>
  <c r="C314"/>
  <c r="B314"/>
  <c r="D313"/>
  <c r="C313"/>
  <c r="B313"/>
  <c r="D312"/>
  <c r="C312"/>
  <c r="B312"/>
  <c r="D311"/>
  <c r="C311"/>
  <c r="B311"/>
  <c r="D310"/>
  <c r="C310"/>
  <c r="B310"/>
  <c r="D309"/>
  <c r="C309"/>
  <c r="B309"/>
  <c r="D308"/>
  <c r="C308"/>
  <c r="B308"/>
  <c r="D307"/>
  <c r="C307"/>
  <c r="B307"/>
  <c r="D306"/>
  <c r="C306"/>
  <c r="B306"/>
  <c r="D305"/>
  <c r="C305"/>
  <c r="B305"/>
  <c r="D304"/>
  <c r="C304"/>
  <c r="B304"/>
  <c r="D303"/>
  <c r="C303"/>
  <c r="B303"/>
  <c r="D302"/>
  <c r="C302"/>
  <c r="B302"/>
  <c r="D301"/>
  <c r="C301"/>
  <c r="B301"/>
  <c r="D300"/>
  <c r="C300"/>
  <c r="B300"/>
  <c r="D299"/>
  <c r="C299"/>
  <c r="B299"/>
  <c r="D298"/>
  <c r="C298"/>
  <c r="B298"/>
  <c r="D297"/>
  <c r="C297"/>
  <c r="B297"/>
  <c r="D296"/>
  <c r="C296"/>
  <c r="B296"/>
  <c r="D295"/>
  <c r="C295"/>
  <c r="B295"/>
  <c r="D294"/>
  <c r="C294"/>
  <c r="B294"/>
  <c r="D293"/>
  <c r="C293"/>
  <c r="B293"/>
  <c r="D292"/>
  <c r="C292"/>
  <c r="B292"/>
  <c r="D291"/>
  <c r="C291"/>
  <c r="B291"/>
  <c r="D290"/>
  <c r="C290"/>
  <c r="B290"/>
  <c r="D289"/>
  <c r="C289"/>
  <c r="B289"/>
  <c r="D288"/>
  <c r="C288"/>
  <c r="B288"/>
  <c r="D287"/>
  <c r="C287"/>
  <c r="B287"/>
  <c r="D286"/>
  <c r="C286"/>
  <c r="B286"/>
  <c r="D285"/>
  <c r="C285"/>
  <c r="B285"/>
  <c r="D284"/>
  <c r="C284"/>
  <c r="B284"/>
  <c r="D283"/>
  <c r="C283"/>
  <c r="B283"/>
  <c r="D282"/>
  <c r="C282"/>
  <c r="B282"/>
  <c r="D281"/>
  <c r="C281"/>
  <c r="B281"/>
  <c r="D280"/>
  <c r="C280"/>
  <c r="B280"/>
  <c r="D279"/>
  <c r="C279"/>
  <c r="B279"/>
  <c r="D278"/>
  <c r="C278"/>
  <c r="B278"/>
  <c r="D277"/>
  <c r="C277"/>
  <c r="B277"/>
  <c r="D276"/>
  <c r="C276"/>
  <c r="B276"/>
  <c r="D275"/>
  <c r="C275"/>
  <c r="B275"/>
  <c r="D274"/>
  <c r="C274"/>
  <c r="B274"/>
  <c r="D273"/>
  <c r="C273"/>
  <c r="B273"/>
  <c r="D272"/>
  <c r="C272"/>
  <c r="B272"/>
  <c r="D271"/>
  <c r="C271"/>
  <c r="B271"/>
  <c r="D270"/>
  <c r="C270"/>
  <c r="B270"/>
  <c r="D269"/>
  <c r="C269"/>
  <c r="B269"/>
  <c r="D268"/>
  <c r="C268"/>
  <c r="B268"/>
  <c r="D267"/>
  <c r="C267"/>
  <c r="B267"/>
  <c r="D266"/>
  <c r="C266"/>
  <c r="B266"/>
  <c r="D265"/>
  <c r="C265"/>
  <c r="B265"/>
  <c r="D264"/>
  <c r="C264"/>
  <c r="B264"/>
  <c r="D263"/>
  <c r="C263"/>
  <c r="B263"/>
  <c r="D262"/>
  <c r="C262"/>
  <c r="B262"/>
  <c r="D261"/>
  <c r="C261"/>
  <c r="B261"/>
  <c r="D260"/>
  <c r="C260"/>
  <c r="B260"/>
  <c r="D259"/>
  <c r="C259"/>
  <c r="B259"/>
  <c r="D258"/>
  <c r="C258"/>
  <c r="B258"/>
  <c r="D257"/>
  <c r="C257"/>
  <c r="B257"/>
  <c r="D256"/>
  <c r="C256"/>
  <c r="B256"/>
  <c r="D255"/>
  <c r="C255"/>
  <c r="B255"/>
  <c r="D254"/>
  <c r="C254"/>
  <c r="B254"/>
  <c r="D253"/>
  <c r="C253"/>
  <c r="B253"/>
  <c r="D252"/>
  <c r="C252"/>
  <c r="B252"/>
  <c r="D251"/>
  <c r="C251"/>
  <c r="B251"/>
  <c r="D250"/>
  <c r="C250"/>
  <c r="B250"/>
  <c r="D249"/>
  <c r="C249"/>
  <c r="B249"/>
  <c r="D248"/>
  <c r="C248"/>
  <c r="B248"/>
  <c r="D247"/>
  <c r="C247"/>
  <c r="B247"/>
  <c r="D246"/>
  <c r="C246"/>
  <c r="B246"/>
  <c r="D245"/>
  <c r="C245"/>
  <c r="B245"/>
  <c r="D244"/>
  <c r="C244"/>
  <c r="B244"/>
  <c r="D243"/>
  <c r="C243"/>
  <c r="B243"/>
  <c r="D242"/>
  <c r="C242"/>
  <c r="B242"/>
  <c r="D241"/>
  <c r="C241"/>
  <c r="B241"/>
  <c r="D240"/>
  <c r="C240"/>
  <c r="B240"/>
  <c r="D239"/>
  <c r="C239"/>
  <c r="B239"/>
  <c r="D238"/>
  <c r="C238"/>
  <c r="B238"/>
  <c r="D237"/>
  <c r="C237"/>
  <c r="B237"/>
  <c r="D236"/>
  <c r="C236"/>
  <c r="B236"/>
  <c r="D235"/>
  <c r="C235"/>
  <c r="B235"/>
  <c r="D234"/>
  <c r="C234"/>
  <c r="B234"/>
  <c r="D233"/>
  <c r="C233"/>
  <c r="B233"/>
  <c r="D232"/>
  <c r="C232"/>
  <c r="B232"/>
  <c r="D231"/>
  <c r="C231"/>
  <c r="B231"/>
  <c r="D230"/>
  <c r="C230"/>
  <c r="B230"/>
  <c r="D229"/>
  <c r="C229"/>
  <c r="B229"/>
  <c r="D228"/>
  <c r="C228"/>
  <c r="B228"/>
  <c r="D227"/>
  <c r="C227"/>
  <c r="B227"/>
  <c r="D226"/>
  <c r="C226"/>
  <c r="B226"/>
  <c r="D225"/>
  <c r="C225"/>
  <c r="B225"/>
  <c r="D224"/>
  <c r="C224"/>
  <c r="B224"/>
  <c r="D223"/>
  <c r="C223"/>
  <c r="B223"/>
  <c r="D222"/>
  <c r="C222"/>
  <c r="B222"/>
  <c r="D221"/>
  <c r="C221"/>
  <c r="B221"/>
  <c r="D220"/>
  <c r="C220"/>
  <c r="B220"/>
  <c r="D219"/>
  <c r="C219"/>
  <c r="B219"/>
  <c r="D218"/>
  <c r="C218"/>
  <c r="B218"/>
  <c r="D217"/>
  <c r="C217"/>
  <c r="B217"/>
  <c r="D216"/>
  <c r="C216"/>
  <c r="B216"/>
  <c r="D215"/>
  <c r="C215"/>
  <c r="B215"/>
  <c r="D214"/>
  <c r="C214"/>
  <c r="B214"/>
  <c r="D213"/>
  <c r="C213"/>
  <c r="B213"/>
  <c r="D212"/>
  <c r="C212"/>
  <c r="B212"/>
  <c r="D211"/>
  <c r="C211"/>
  <c r="B211"/>
  <c r="D210"/>
  <c r="C210"/>
  <c r="B210"/>
  <c r="D209"/>
  <c r="C209"/>
  <c r="B209"/>
  <c r="D208"/>
  <c r="C208"/>
  <c r="B208"/>
  <c r="D207"/>
  <c r="C207"/>
  <c r="B207"/>
  <c r="D206"/>
  <c r="C206"/>
  <c r="B206"/>
  <c r="D205"/>
  <c r="C205"/>
  <c r="B205"/>
  <c r="D204"/>
  <c r="C204"/>
  <c r="B204"/>
  <c r="D203"/>
  <c r="C203"/>
  <c r="B203"/>
  <c r="D202"/>
  <c r="C202"/>
  <c r="B202"/>
  <c r="D201"/>
  <c r="C201"/>
  <c r="B201"/>
  <c r="D200"/>
  <c r="C200"/>
  <c r="B200"/>
  <c r="D199"/>
  <c r="C199"/>
  <c r="B199"/>
  <c r="D198"/>
  <c r="C198"/>
  <c r="B198"/>
  <c r="D197"/>
  <c r="C197"/>
  <c r="B197"/>
  <c r="D196"/>
  <c r="C196"/>
  <c r="B196"/>
  <c r="D195"/>
  <c r="C195"/>
  <c r="B195"/>
  <c r="D194"/>
  <c r="C194"/>
  <c r="B194"/>
  <c r="D193"/>
  <c r="C193"/>
  <c r="B193"/>
  <c r="D192"/>
  <c r="C192"/>
  <c r="B192"/>
  <c r="D191"/>
  <c r="C191"/>
  <c r="B191"/>
  <c r="D190"/>
  <c r="C190"/>
  <c r="B190"/>
  <c r="D189"/>
  <c r="C189"/>
  <c r="B189"/>
  <c r="D188"/>
  <c r="C188"/>
  <c r="B188"/>
  <c r="D187"/>
  <c r="C187"/>
  <c r="B187"/>
  <c r="D186"/>
  <c r="C186"/>
  <c r="B186"/>
  <c r="D185"/>
  <c r="C185"/>
  <c r="B185"/>
  <c r="D184"/>
  <c r="C184"/>
  <c r="B184"/>
  <c r="D183"/>
  <c r="C183"/>
  <c r="B183"/>
  <c r="D182"/>
  <c r="C182"/>
  <c r="B182"/>
  <c r="D181"/>
  <c r="C181"/>
  <c r="B181"/>
  <c r="D180"/>
  <c r="C180"/>
  <c r="B180"/>
  <c r="D179"/>
  <c r="C179"/>
  <c r="B179"/>
  <c r="D178"/>
  <c r="C178"/>
  <c r="B178"/>
  <c r="D177"/>
  <c r="C177"/>
  <c r="B177"/>
  <c r="D176"/>
  <c r="C176"/>
  <c r="B176"/>
  <c r="D175"/>
  <c r="C175"/>
  <c r="B175"/>
  <c r="D174"/>
  <c r="C174"/>
  <c r="B174"/>
  <c r="D173"/>
  <c r="C173"/>
  <c r="B173"/>
  <c r="D172"/>
  <c r="C172"/>
  <c r="B172"/>
  <c r="D171"/>
  <c r="C171"/>
  <c r="B171"/>
  <c r="D170"/>
  <c r="C170"/>
  <c r="B170"/>
  <c r="D169"/>
  <c r="C169"/>
  <c r="B169"/>
  <c r="D168"/>
  <c r="C168"/>
  <c r="B168"/>
  <c r="D167"/>
  <c r="C167"/>
  <c r="B167"/>
  <c r="D166"/>
  <c r="C166"/>
  <c r="B166"/>
  <c r="D165"/>
  <c r="C165"/>
  <c r="B165"/>
  <c r="D164"/>
  <c r="C164"/>
  <c r="B164"/>
  <c r="D163"/>
  <c r="C163"/>
  <c r="B163"/>
  <c r="D162"/>
  <c r="C162"/>
  <c r="B162"/>
  <c r="D161"/>
  <c r="C161"/>
  <c r="B161"/>
  <c r="D160"/>
  <c r="C160"/>
  <c r="B160"/>
  <c r="D159"/>
  <c r="C159"/>
  <c r="B159"/>
  <c r="D158"/>
  <c r="C158"/>
  <c r="B158"/>
  <c r="D157"/>
  <c r="C157"/>
  <c r="B157"/>
  <c r="D156"/>
  <c r="C156"/>
  <c r="B156"/>
  <c r="D155"/>
  <c r="C155"/>
  <c r="B155"/>
  <c r="D154"/>
  <c r="C154"/>
  <c r="B154"/>
  <c r="D153"/>
  <c r="C153"/>
  <c r="B153"/>
  <c r="D152"/>
  <c r="C152"/>
  <c r="B152"/>
  <c r="D151"/>
  <c r="C151"/>
  <c r="B151"/>
  <c r="D150"/>
  <c r="C150"/>
  <c r="B150"/>
  <c r="D149"/>
  <c r="C149"/>
  <c r="B149"/>
  <c r="D148"/>
  <c r="C148"/>
  <c r="B148"/>
  <c r="D147"/>
  <c r="C147"/>
  <c r="B147"/>
  <c r="D146"/>
  <c r="C146"/>
  <c r="B146"/>
  <c r="D145"/>
  <c r="C145"/>
  <c r="B145"/>
  <c r="D144"/>
  <c r="C144"/>
  <c r="B144"/>
  <c r="D143"/>
  <c r="C143"/>
  <c r="B143"/>
  <c r="D142"/>
  <c r="C142"/>
  <c r="B142"/>
  <c r="D141"/>
  <c r="C141"/>
  <c r="B141"/>
  <c r="D140"/>
  <c r="C140"/>
  <c r="B140"/>
  <c r="D139"/>
  <c r="C139"/>
  <c r="B139"/>
  <c r="D138"/>
  <c r="C138"/>
  <c r="B138"/>
  <c r="D137"/>
  <c r="C137"/>
  <c r="B137"/>
  <c r="D136"/>
  <c r="C136"/>
  <c r="B136"/>
  <c r="D135"/>
  <c r="C135"/>
  <c r="B135"/>
  <c r="D134"/>
  <c r="C134"/>
  <c r="B134"/>
  <c r="D133"/>
  <c r="C133"/>
  <c r="B133"/>
  <c r="D132"/>
  <c r="C132"/>
  <c r="B132"/>
  <c r="D131"/>
  <c r="C131"/>
  <c r="B131"/>
  <c r="D130"/>
  <c r="C130"/>
  <c r="B130"/>
  <c r="D129"/>
  <c r="C129"/>
  <c r="B129"/>
  <c r="D128"/>
  <c r="C128"/>
  <c r="B128"/>
  <c r="D127"/>
  <c r="C127"/>
  <c r="B127"/>
  <c r="D126"/>
  <c r="C126"/>
  <c r="B126"/>
  <c r="D125"/>
  <c r="C125"/>
  <c r="B125"/>
  <c r="D124"/>
  <c r="C124"/>
  <c r="B124"/>
  <c r="D123"/>
  <c r="C123"/>
  <c r="B123"/>
  <c r="D122"/>
  <c r="C122"/>
  <c r="B122"/>
  <c r="D121"/>
  <c r="C121"/>
  <c r="B121"/>
  <c r="D120"/>
  <c r="C120"/>
  <c r="B120"/>
  <c r="D119"/>
  <c r="C119"/>
  <c r="B119"/>
  <c r="D118"/>
  <c r="C118"/>
  <c r="B118"/>
  <c r="D117"/>
  <c r="C117"/>
  <c r="B117"/>
  <c r="D116"/>
  <c r="C116"/>
  <c r="B116"/>
  <c r="D115"/>
  <c r="C115"/>
  <c r="B115"/>
  <c r="D114"/>
  <c r="C114"/>
  <c r="B114"/>
  <c r="D113"/>
  <c r="C113"/>
  <c r="B113"/>
  <c r="D112"/>
  <c r="C112"/>
  <c r="B112"/>
  <c r="D111"/>
  <c r="C111"/>
  <c r="B111"/>
  <c r="D110"/>
  <c r="C110"/>
  <c r="B110"/>
  <c r="D109"/>
  <c r="C109"/>
  <c r="B109"/>
  <c r="D108"/>
  <c r="C108"/>
  <c r="B108"/>
  <c r="D107"/>
  <c r="C107"/>
  <c r="B10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</calcChain>
</file>

<file path=xl/sharedStrings.xml><?xml version="1.0" encoding="utf-8"?>
<sst xmlns="http://schemas.openxmlformats.org/spreadsheetml/2006/main" count="8808" uniqueCount="32">
  <si>
    <t>序号</t>
  </si>
  <si>
    <t>姓名</t>
  </si>
  <si>
    <t>性别</t>
  </si>
  <si>
    <t>准考证号</t>
  </si>
  <si>
    <t>报考岗位</t>
  </si>
  <si>
    <t>职位名称</t>
  </si>
  <si>
    <t>笔试成绩</t>
  </si>
  <si>
    <t>备注</t>
  </si>
  <si>
    <t>农村中学</t>
  </si>
  <si>
    <t>语文</t>
  </si>
  <si>
    <t>语文（应）</t>
  </si>
  <si>
    <t>数学</t>
  </si>
  <si>
    <t>数学(应)</t>
  </si>
  <si>
    <t>英语</t>
  </si>
  <si>
    <t>英语（应）</t>
  </si>
  <si>
    <t>物理</t>
  </si>
  <si>
    <t>政治</t>
  </si>
  <si>
    <t>政治（应）</t>
  </si>
  <si>
    <t>生物</t>
  </si>
  <si>
    <t>城区中学</t>
  </si>
  <si>
    <t>城区小学</t>
  </si>
  <si>
    <t>音乐</t>
  </si>
  <si>
    <t>音乐（应）</t>
  </si>
  <si>
    <t>体育</t>
  </si>
  <si>
    <t>体育（应）</t>
  </si>
  <si>
    <t>美术</t>
  </si>
  <si>
    <t>美术（应）</t>
  </si>
  <si>
    <t>农村小学</t>
  </si>
  <si>
    <t>幼儿园</t>
  </si>
  <si>
    <t>幼儿园（应）</t>
  </si>
  <si>
    <t>说明：备注栏的"1"表示缺考，"2"表示违规。</t>
  </si>
  <si>
    <t>2021年度邵阳市大祥区公开招聘中小学、幼儿园教师笔试成绩表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</si>
</sst>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 9" xfId="1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02"/>
  <sheetViews>
    <sheetView tabSelected="1" workbookViewId="0">
      <selection sqref="A1:H1"/>
    </sheetView>
  </sheetViews>
  <sheetFormatPr defaultColWidth="9" defaultRowHeight="14.25"/>
  <cols>
    <col min="1" max="1" width="5.5"/>
    <col min="2" max="2" width="9.875" style="1" customWidth="1"/>
    <col min="3" max="3" width="7.25" style="1" customWidth="1"/>
    <col min="4" max="4" width="13.875" style="1"/>
    <col min="5" max="5" width="11.875" style="2" customWidth="1"/>
    <col min="6" max="6" width="12.5" style="1" customWidth="1"/>
    <col min="7" max="7" width="9" style="1"/>
    <col min="8" max="8" width="5.25" style="1" customWidth="1"/>
  </cols>
  <sheetData>
    <row r="1" spans="1:8" ht="41.25" customHeight="1">
      <c r="A1" s="14" t="s">
        <v>31</v>
      </c>
      <c r="B1" s="14"/>
      <c r="C1" s="14"/>
      <c r="D1" s="14"/>
      <c r="E1" s="14"/>
      <c r="F1" s="14"/>
      <c r="G1" s="14"/>
      <c r="H1" s="14"/>
    </row>
    <row r="2" spans="1:8" ht="30.9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8">
      <c r="A3" s="5">
        <v>9</v>
      </c>
      <c r="B3" s="6" t="str">
        <f>"杨绍凤"</f>
        <v>杨绍凤</v>
      </c>
      <c r="C3" s="6" t="str">
        <f t="shared" ref="C3:C35" si="0">"女"</f>
        <v>女</v>
      </c>
      <c r="D3" s="6" t="str">
        <f>"202101021101"</f>
        <v>202101021101</v>
      </c>
      <c r="E3" s="7" t="s">
        <v>8</v>
      </c>
      <c r="F3" s="6" t="s">
        <v>9</v>
      </c>
      <c r="G3" s="8">
        <v>68.599999999999994</v>
      </c>
      <c r="H3" s="6"/>
    </row>
    <row r="4" spans="1:8">
      <c r="A4" s="5">
        <v>1</v>
      </c>
      <c r="B4" s="6" t="str">
        <f>"刘妤婕"</f>
        <v>刘妤婕</v>
      </c>
      <c r="C4" s="6" t="str">
        <f t="shared" si="0"/>
        <v>女</v>
      </c>
      <c r="D4" s="6" t="str">
        <f>"202101021102"</f>
        <v>202101021102</v>
      </c>
      <c r="E4" s="7" t="s">
        <v>8</v>
      </c>
      <c r="F4" s="6" t="s">
        <v>9</v>
      </c>
      <c r="G4" s="8">
        <v>0</v>
      </c>
      <c r="H4" s="9">
        <v>1</v>
      </c>
    </row>
    <row r="5" spans="1:8">
      <c r="A5" s="5">
        <v>4</v>
      </c>
      <c r="B5" s="6" t="str">
        <f>"李嘉欣"</f>
        <v>李嘉欣</v>
      </c>
      <c r="C5" s="6" t="str">
        <f t="shared" si="0"/>
        <v>女</v>
      </c>
      <c r="D5" s="6" t="str">
        <f>"202101021103"</f>
        <v>202101021103</v>
      </c>
      <c r="E5" s="7" t="s">
        <v>8</v>
      </c>
      <c r="F5" s="6" t="s">
        <v>9</v>
      </c>
      <c r="G5" s="8">
        <v>70.25</v>
      </c>
      <c r="H5" s="6"/>
    </row>
    <row r="6" spans="1:8">
      <c r="A6" s="5">
        <v>8</v>
      </c>
      <c r="B6" s="6" t="str">
        <f>"罗璐璐"</f>
        <v>罗璐璐</v>
      </c>
      <c r="C6" s="6" t="str">
        <f t="shared" si="0"/>
        <v>女</v>
      </c>
      <c r="D6" s="6" t="str">
        <f>"202101021104"</f>
        <v>202101021104</v>
      </c>
      <c r="E6" s="7" t="s">
        <v>8</v>
      </c>
      <c r="F6" s="6" t="s">
        <v>9</v>
      </c>
      <c r="G6" s="8">
        <v>71.5</v>
      </c>
      <c r="H6" s="6"/>
    </row>
    <row r="7" spans="1:8">
      <c r="A7" s="5">
        <v>5</v>
      </c>
      <c r="B7" s="6" t="str">
        <f>"徐莉"</f>
        <v>徐莉</v>
      </c>
      <c r="C7" s="6" t="str">
        <f t="shared" si="0"/>
        <v>女</v>
      </c>
      <c r="D7" s="6" t="str">
        <f>"202101021105"</f>
        <v>202101021105</v>
      </c>
      <c r="E7" s="7" t="s">
        <v>8</v>
      </c>
      <c r="F7" s="6" t="s">
        <v>9</v>
      </c>
      <c r="G7" s="8">
        <v>66.349999999999994</v>
      </c>
      <c r="H7" s="6"/>
    </row>
    <row r="8" spans="1:8">
      <c r="A8" s="5">
        <v>2</v>
      </c>
      <c r="B8" s="6" t="str">
        <f>"聂雨晴"</f>
        <v>聂雨晴</v>
      </c>
      <c r="C8" s="6" t="str">
        <f t="shared" si="0"/>
        <v>女</v>
      </c>
      <c r="D8" s="6" t="str">
        <f>"202101021106"</f>
        <v>202101021106</v>
      </c>
      <c r="E8" s="7" t="s">
        <v>8</v>
      </c>
      <c r="F8" s="6" t="s">
        <v>9</v>
      </c>
      <c r="G8" s="8">
        <v>69.2</v>
      </c>
      <c r="H8" s="6"/>
    </row>
    <row r="9" spans="1:8">
      <c r="A9" s="5">
        <v>3</v>
      </c>
      <c r="B9" s="6" t="str">
        <f>"黎蓉蓉"</f>
        <v>黎蓉蓉</v>
      </c>
      <c r="C9" s="6" t="str">
        <f t="shared" si="0"/>
        <v>女</v>
      </c>
      <c r="D9" s="6" t="str">
        <f>"202101021107"</f>
        <v>202101021107</v>
      </c>
      <c r="E9" s="7" t="s">
        <v>8</v>
      </c>
      <c r="F9" s="6" t="s">
        <v>9</v>
      </c>
      <c r="G9" s="8">
        <v>50.7</v>
      </c>
      <c r="H9" s="6"/>
    </row>
    <row r="10" spans="1:8">
      <c r="A10" s="5">
        <v>7</v>
      </c>
      <c r="B10" s="6" t="str">
        <f>"周路佳"</f>
        <v>周路佳</v>
      </c>
      <c r="C10" s="6" t="str">
        <f t="shared" si="0"/>
        <v>女</v>
      </c>
      <c r="D10" s="6" t="str">
        <f>"202101021108"</f>
        <v>202101021108</v>
      </c>
      <c r="E10" s="7" t="s">
        <v>8</v>
      </c>
      <c r="F10" s="6" t="s">
        <v>9</v>
      </c>
      <c r="G10" s="8">
        <v>72.650000000000006</v>
      </c>
      <c r="H10" s="6"/>
    </row>
    <row r="11" spans="1:8">
      <c r="A11" s="5">
        <v>6</v>
      </c>
      <c r="B11" s="6" t="str">
        <f>"雷婉婷"</f>
        <v>雷婉婷</v>
      </c>
      <c r="C11" s="6" t="str">
        <f t="shared" si="0"/>
        <v>女</v>
      </c>
      <c r="D11" s="6" t="str">
        <f>"202101021109"</f>
        <v>202101021109</v>
      </c>
      <c r="E11" s="7" t="s">
        <v>8</v>
      </c>
      <c r="F11" s="6" t="s">
        <v>9</v>
      </c>
      <c r="G11" s="8">
        <v>58.8</v>
      </c>
      <c r="H11" s="6"/>
    </row>
    <row r="12" spans="1:8">
      <c r="A12" s="5">
        <v>1403</v>
      </c>
      <c r="B12" s="6" t="str">
        <f>"田露"</f>
        <v>田露</v>
      </c>
      <c r="C12" s="6" t="str">
        <f t="shared" si="0"/>
        <v>女</v>
      </c>
      <c r="D12" s="6" t="str">
        <f>"202102021423"</f>
        <v>202102021423</v>
      </c>
      <c r="E12" s="10" t="s">
        <v>8</v>
      </c>
      <c r="F12" s="6" t="s">
        <v>10</v>
      </c>
      <c r="G12" s="8">
        <v>71.95</v>
      </c>
      <c r="H12" s="6"/>
    </row>
    <row r="13" spans="1:8">
      <c r="A13" s="5">
        <v>1406</v>
      </c>
      <c r="B13" s="6" t="str">
        <f>"龙婷婷"</f>
        <v>龙婷婷</v>
      </c>
      <c r="C13" s="6" t="str">
        <f t="shared" si="0"/>
        <v>女</v>
      </c>
      <c r="D13" s="6" t="str">
        <f>"202102021424"</f>
        <v>202102021424</v>
      </c>
      <c r="E13" s="10" t="s">
        <v>8</v>
      </c>
      <c r="F13" s="6" t="s">
        <v>10</v>
      </c>
      <c r="G13" s="8">
        <v>63.4</v>
      </c>
      <c r="H13" s="6"/>
    </row>
    <row r="14" spans="1:8">
      <c r="A14" s="5">
        <v>1399</v>
      </c>
      <c r="B14" s="6" t="str">
        <f>"周峥嵘"</f>
        <v>周峥嵘</v>
      </c>
      <c r="C14" s="6" t="str">
        <f t="shared" si="0"/>
        <v>女</v>
      </c>
      <c r="D14" s="6" t="str">
        <f>"202102021425"</f>
        <v>202102021425</v>
      </c>
      <c r="E14" s="10" t="s">
        <v>8</v>
      </c>
      <c r="F14" s="6" t="s">
        <v>10</v>
      </c>
      <c r="G14" s="8">
        <v>63.3</v>
      </c>
      <c r="H14" s="6"/>
    </row>
    <row r="15" spans="1:8">
      <c r="A15" s="5">
        <v>1419</v>
      </c>
      <c r="B15" s="6" t="str">
        <f>"易海霞"</f>
        <v>易海霞</v>
      </c>
      <c r="C15" s="6" t="str">
        <f t="shared" si="0"/>
        <v>女</v>
      </c>
      <c r="D15" s="6" t="str">
        <f>"202102021426"</f>
        <v>202102021426</v>
      </c>
      <c r="E15" s="10" t="s">
        <v>8</v>
      </c>
      <c r="F15" s="6" t="s">
        <v>10</v>
      </c>
      <c r="G15" s="8">
        <v>71.349999999999994</v>
      </c>
      <c r="H15" s="6"/>
    </row>
    <row r="16" spans="1:8">
      <c r="A16" s="5">
        <v>1418</v>
      </c>
      <c r="B16" s="6" t="str">
        <f>"刘阳"</f>
        <v>刘阳</v>
      </c>
      <c r="C16" s="6" t="str">
        <f t="shared" si="0"/>
        <v>女</v>
      </c>
      <c r="D16" s="6" t="str">
        <f>"202102021427"</f>
        <v>202102021427</v>
      </c>
      <c r="E16" s="10" t="s">
        <v>8</v>
      </c>
      <c r="F16" s="6" t="s">
        <v>10</v>
      </c>
      <c r="G16" s="8">
        <v>58.9</v>
      </c>
      <c r="H16" s="6"/>
    </row>
    <row r="17" spans="1:8">
      <c r="A17" s="5">
        <v>1411</v>
      </c>
      <c r="B17" s="6" t="str">
        <f>"刘婷"</f>
        <v>刘婷</v>
      </c>
      <c r="C17" s="6" t="str">
        <f t="shared" si="0"/>
        <v>女</v>
      </c>
      <c r="D17" s="6" t="str">
        <f>"202102021428"</f>
        <v>202102021428</v>
      </c>
      <c r="E17" s="10" t="s">
        <v>8</v>
      </c>
      <c r="F17" s="6" t="s">
        <v>10</v>
      </c>
      <c r="G17" s="8">
        <v>61.75</v>
      </c>
      <c r="H17" s="6"/>
    </row>
    <row r="18" spans="1:8">
      <c r="A18" s="5">
        <v>1398</v>
      </c>
      <c r="B18" s="6" t="str">
        <f>"赵志丽"</f>
        <v>赵志丽</v>
      </c>
      <c r="C18" s="6" t="str">
        <f t="shared" si="0"/>
        <v>女</v>
      </c>
      <c r="D18" s="6" t="str">
        <f>"202102021429"</f>
        <v>202102021429</v>
      </c>
      <c r="E18" s="10" t="s">
        <v>8</v>
      </c>
      <c r="F18" s="6" t="s">
        <v>10</v>
      </c>
      <c r="G18" s="8">
        <v>64.400000000000006</v>
      </c>
      <c r="H18" s="6"/>
    </row>
    <row r="19" spans="1:8">
      <c r="A19" s="5">
        <v>1415</v>
      </c>
      <c r="B19" s="6" t="str">
        <f>"彭千千"</f>
        <v>彭千千</v>
      </c>
      <c r="C19" s="6" t="str">
        <f t="shared" si="0"/>
        <v>女</v>
      </c>
      <c r="D19" s="6" t="str">
        <f>"202102021430"</f>
        <v>202102021430</v>
      </c>
      <c r="E19" s="10" t="s">
        <v>8</v>
      </c>
      <c r="F19" s="6" t="s">
        <v>10</v>
      </c>
      <c r="G19" s="8">
        <v>0</v>
      </c>
      <c r="H19" s="9">
        <v>1</v>
      </c>
    </row>
    <row r="20" spans="1:8">
      <c r="A20" s="5">
        <v>1400</v>
      </c>
      <c r="B20" s="6" t="str">
        <f>"罗花容"</f>
        <v>罗花容</v>
      </c>
      <c r="C20" s="6" t="str">
        <f t="shared" si="0"/>
        <v>女</v>
      </c>
      <c r="D20" s="6" t="str">
        <f>"202102021511"</f>
        <v>202102021511</v>
      </c>
      <c r="E20" s="10" t="s">
        <v>8</v>
      </c>
      <c r="F20" s="6" t="s">
        <v>10</v>
      </c>
      <c r="G20" s="8">
        <v>67.7</v>
      </c>
      <c r="H20" s="6"/>
    </row>
    <row r="21" spans="1:8">
      <c r="A21" s="5">
        <v>1407</v>
      </c>
      <c r="B21" s="6" t="str">
        <f>"黄静"</f>
        <v>黄静</v>
      </c>
      <c r="C21" s="6" t="str">
        <f t="shared" si="0"/>
        <v>女</v>
      </c>
      <c r="D21" s="6" t="str">
        <f>"202102021512"</f>
        <v>202102021512</v>
      </c>
      <c r="E21" s="10" t="s">
        <v>8</v>
      </c>
      <c r="F21" s="6" t="s">
        <v>10</v>
      </c>
      <c r="G21" s="8">
        <v>65.7</v>
      </c>
      <c r="H21" s="6"/>
    </row>
    <row r="22" spans="1:8">
      <c r="A22" s="5">
        <v>1409</v>
      </c>
      <c r="B22" s="6" t="str">
        <f>"宋雨晴"</f>
        <v>宋雨晴</v>
      </c>
      <c r="C22" s="6" t="str">
        <f t="shared" si="0"/>
        <v>女</v>
      </c>
      <c r="D22" s="6" t="str">
        <f>"202102021513"</f>
        <v>202102021513</v>
      </c>
      <c r="E22" s="10" t="s">
        <v>8</v>
      </c>
      <c r="F22" s="6" t="s">
        <v>10</v>
      </c>
      <c r="G22" s="8">
        <v>69.849999999999994</v>
      </c>
      <c r="H22" s="6"/>
    </row>
    <row r="23" spans="1:8">
      <c r="A23" s="5">
        <v>1416</v>
      </c>
      <c r="B23" s="6" t="str">
        <f>"黎金花"</f>
        <v>黎金花</v>
      </c>
      <c r="C23" s="6" t="str">
        <f t="shared" si="0"/>
        <v>女</v>
      </c>
      <c r="D23" s="6" t="str">
        <f>"202102021514"</f>
        <v>202102021514</v>
      </c>
      <c r="E23" s="10" t="s">
        <v>8</v>
      </c>
      <c r="F23" s="6" t="s">
        <v>10</v>
      </c>
      <c r="G23" s="8">
        <v>59.75</v>
      </c>
      <c r="H23" s="6"/>
    </row>
    <row r="24" spans="1:8">
      <c r="A24" s="5">
        <v>1410</v>
      </c>
      <c r="B24" s="6" t="str">
        <f>"尹小爱"</f>
        <v>尹小爱</v>
      </c>
      <c r="C24" s="6" t="str">
        <f t="shared" si="0"/>
        <v>女</v>
      </c>
      <c r="D24" s="6" t="str">
        <f>"202102021515"</f>
        <v>202102021515</v>
      </c>
      <c r="E24" s="10" t="s">
        <v>8</v>
      </c>
      <c r="F24" s="6" t="s">
        <v>10</v>
      </c>
      <c r="G24" s="8">
        <v>75.7</v>
      </c>
      <c r="H24" s="6"/>
    </row>
    <row r="25" spans="1:8">
      <c r="A25" s="5">
        <v>1413</v>
      </c>
      <c r="B25" s="6" t="str">
        <f>"陈振源"</f>
        <v>陈振源</v>
      </c>
      <c r="C25" s="6" t="str">
        <f t="shared" si="0"/>
        <v>女</v>
      </c>
      <c r="D25" s="6" t="str">
        <f>"202102021516"</f>
        <v>202102021516</v>
      </c>
      <c r="E25" s="10" t="s">
        <v>8</v>
      </c>
      <c r="F25" s="6" t="s">
        <v>10</v>
      </c>
      <c r="G25" s="8">
        <v>70.7</v>
      </c>
      <c r="H25" s="6"/>
    </row>
    <row r="26" spans="1:8">
      <c r="A26" s="5">
        <v>1417</v>
      </c>
      <c r="B26" s="6" t="str">
        <f>"谢欣鑫"</f>
        <v>谢欣鑫</v>
      </c>
      <c r="C26" s="6" t="str">
        <f t="shared" si="0"/>
        <v>女</v>
      </c>
      <c r="D26" s="6" t="str">
        <f>"202102021517"</f>
        <v>202102021517</v>
      </c>
      <c r="E26" s="10" t="s">
        <v>8</v>
      </c>
      <c r="F26" s="6" t="s">
        <v>10</v>
      </c>
      <c r="G26" s="8">
        <v>69</v>
      </c>
      <c r="H26" s="6"/>
    </row>
    <row r="27" spans="1:8">
      <c r="A27" s="5">
        <v>1405</v>
      </c>
      <c r="B27" s="6" t="str">
        <f>"唐丹"</f>
        <v>唐丹</v>
      </c>
      <c r="C27" s="6" t="str">
        <f t="shared" si="0"/>
        <v>女</v>
      </c>
      <c r="D27" s="6" t="str">
        <f>"202102021518"</f>
        <v>202102021518</v>
      </c>
      <c r="E27" s="10" t="s">
        <v>8</v>
      </c>
      <c r="F27" s="6" t="s">
        <v>10</v>
      </c>
      <c r="G27" s="8">
        <v>72.099999999999994</v>
      </c>
      <c r="H27" s="6"/>
    </row>
    <row r="28" spans="1:8">
      <c r="A28" s="5">
        <v>1408</v>
      </c>
      <c r="B28" s="6" t="str">
        <f>"李欣如"</f>
        <v>李欣如</v>
      </c>
      <c r="C28" s="6" t="str">
        <f t="shared" si="0"/>
        <v>女</v>
      </c>
      <c r="D28" s="6" t="str">
        <f>"202102021519"</f>
        <v>202102021519</v>
      </c>
      <c r="E28" s="10" t="s">
        <v>8</v>
      </c>
      <c r="F28" s="6" t="s">
        <v>10</v>
      </c>
      <c r="G28" s="8">
        <v>64.8</v>
      </c>
      <c r="H28" s="6"/>
    </row>
    <row r="29" spans="1:8">
      <c r="A29" s="5">
        <v>1412</v>
      </c>
      <c r="B29" s="6" t="str">
        <f>"何锦娇"</f>
        <v>何锦娇</v>
      </c>
      <c r="C29" s="6" t="str">
        <f t="shared" si="0"/>
        <v>女</v>
      </c>
      <c r="D29" s="6" t="str">
        <f>"202102021520"</f>
        <v>202102021520</v>
      </c>
      <c r="E29" s="10" t="s">
        <v>8</v>
      </c>
      <c r="F29" s="6" t="s">
        <v>10</v>
      </c>
      <c r="G29" s="8">
        <v>59.9</v>
      </c>
      <c r="H29" s="6"/>
    </row>
    <row r="30" spans="1:8">
      <c r="A30" s="5">
        <v>1404</v>
      </c>
      <c r="B30" s="6" t="str">
        <f>"张春清"</f>
        <v>张春清</v>
      </c>
      <c r="C30" s="6" t="str">
        <f t="shared" si="0"/>
        <v>女</v>
      </c>
      <c r="D30" s="6" t="str">
        <f>"202102021521"</f>
        <v>202102021521</v>
      </c>
      <c r="E30" s="10" t="s">
        <v>8</v>
      </c>
      <c r="F30" s="6" t="s">
        <v>10</v>
      </c>
      <c r="G30" s="8">
        <v>66.55</v>
      </c>
      <c r="H30" s="6"/>
    </row>
    <row r="31" spans="1:8">
      <c r="A31" s="5">
        <v>1402</v>
      </c>
      <c r="B31" s="6" t="str">
        <f>"粟磊"</f>
        <v>粟磊</v>
      </c>
      <c r="C31" s="6" t="str">
        <f t="shared" si="0"/>
        <v>女</v>
      </c>
      <c r="D31" s="6" t="str">
        <f>"202102021522"</f>
        <v>202102021522</v>
      </c>
      <c r="E31" s="10" t="s">
        <v>8</v>
      </c>
      <c r="F31" s="6" t="s">
        <v>10</v>
      </c>
      <c r="G31" s="8">
        <v>67.25</v>
      </c>
      <c r="H31" s="6"/>
    </row>
    <row r="32" spans="1:8">
      <c r="A32" s="5">
        <v>1401</v>
      </c>
      <c r="B32" s="6" t="str">
        <f>"刘瑶瑶"</f>
        <v>刘瑶瑶</v>
      </c>
      <c r="C32" s="6" t="str">
        <f t="shared" si="0"/>
        <v>女</v>
      </c>
      <c r="D32" s="6" t="str">
        <f>"202102021523"</f>
        <v>202102021523</v>
      </c>
      <c r="E32" s="10" t="s">
        <v>8</v>
      </c>
      <c r="F32" s="6" t="s">
        <v>10</v>
      </c>
      <c r="G32" s="8">
        <v>64.650000000000006</v>
      </c>
      <c r="H32" s="6"/>
    </row>
    <row r="33" spans="1:8">
      <c r="A33" s="5">
        <v>1397</v>
      </c>
      <c r="B33" s="6" t="str">
        <f>"李永情"</f>
        <v>李永情</v>
      </c>
      <c r="C33" s="6" t="str">
        <f t="shared" si="0"/>
        <v>女</v>
      </c>
      <c r="D33" s="6" t="str">
        <f>"202102021524"</f>
        <v>202102021524</v>
      </c>
      <c r="E33" s="10" t="s">
        <v>8</v>
      </c>
      <c r="F33" s="6" t="s">
        <v>10</v>
      </c>
      <c r="G33" s="8">
        <v>64.650000000000006</v>
      </c>
      <c r="H33" s="6"/>
    </row>
    <row r="34" spans="1:8">
      <c r="A34" s="5">
        <v>1414</v>
      </c>
      <c r="B34" s="6" t="str">
        <f>"朱亦非"</f>
        <v>朱亦非</v>
      </c>
      <c r="C34" s="6" t="str">
        <f t="shared" si="0"/>
        <v>女</v>
      </c>
      <c r="D34" s="6" t="str">
        <f>"202102021525"</f>
        <v>202102021525</v>
      </c>
      <c r="E34" s="10" t="s">
        <v>8</v>
      </c>
      <c r="F34" s="6" t="s">
        <v>10</v>
      </c>
      <c r="G34" s="8">
        <v>62.65</v>
      </c>
      <c r="H34" s="6"/>
    </row>
    <row r="35" spans="1:8">
      <c r="A35" s="5">
        <v>3280</v>
      </c>
      <c r="B35" s="6" t="str">
        <f>"朱瑛"</f>
        <v>朱瑛</v>
      </c>
      <c r="C35" s="6" t="str">
        <f t="shared" si="0"/>
        <v>女</v>
      </c>
      <c r="D35" s="6" t="str">
        <f>"202103034303"</f>
        <v>202103034303</v>
      </c>
      <c r="E35" s="10" t="s">
        <v>8</v>
      </c>
      <c r="F35" s="6" t="s">
        <v>11</v>
      </c>
      <c r="G35" s="8">
        <v>59.55</v>
      </c>
      <c r="H35" s="6"/>
    </row>
    <row r="36" spans="1:8">
      <c r="A36" s="5">
        <v>3294</v>
      </c>
      <c r="B36" s="6" t="str">
        <f>"徐建仁"</f>
        <v>徐建仁</v>
      </c>
      <c r="C36" s="6" t="str">
        <f>"男"</f>
        <v>男</v>
      </c>
      <c r="D36" s="6" t="str">
        <f>"202103034304"</f>
        <v>202103034304</v>
      </c>
      <c r="E36" s="10" t="s">
        <v>8</v>
      </c>
      <c r="F36" s="6" t="s">
        <v>11</v>
      </c>
      <c r="G36" s="8">
        <v>76.5</v>
      </c>
      <c r="H36" s="6"/>
    </row>
    <row r="37" spans="1:8">
      <c r="A37" s="5">
        <v>3285</v>
      </c>
      <c r="B37" s="6" t="str">
        <f>"伍黎黎"</f>
        <v>伍黎黎</v>
      </c>
      <c r="C37" s="6" t="str">
        <f>"女"</f>
        <v>女</v>
      </c>
      <c r="D37" s="6" t="str">
        <f>"202103034305"</f>
        <v>202103034305</v>
      </c>
      <c r="E37" s="10" t="s">
        <v>8</v>
      </c>
      <c r="F37" s="6" t="s">
        <v>11</v>
      </c>
      <c r="G37" s="8">
        <v>75.400000000000006</v>
      </c>
      <c r="H37" s="6"/>
    </row>
    <row r="38" spans="1:8">
      <c r="A38" s="5">
        <v>3287</v>
      </c>
      <c r="B38" s="6" t="str">
        <f>"黄成龙"</f>
        <v>黄成龙</v>
      </c>
      <c r="C38" s="6" t="str">
        <f>"男"</f>
        <v>男</v>
      </c>
      <c r="D38" s="6" t="str">
        <f>"202103034306"</f>
        <v>202103034306</v>
      </c>
      <c r="E38" s="10" t="s">
        <v>8</v>
      </c>
      <c r="F38" s="6" t="s">
        <v>11</v>
      </c>
      <c r="G38" s="8">
        <v>55.65</v>
      </c>
      <c r="H38" s="6"/>
    </row>
    <row r="39" spans="1:8">
      <c r="A39" s="5">
        <v>3295</v>
      </c>
      <c r="B39" s="6" t="str">
        <f>"禹思颖"</f>
        <v>禹思颖</v>
      </c>
      <c r="C39" s="6" t="str">
        <f>"女"</f>
        <v>女</v>
      </c>
      <c r="D39" s="6" t="str">
        <f>"202103034307"</f>
        <v>202103034307</v>
      </c>
      <c r="E39" s="10" t="s">
        <v>8</v>
      </c>
      <c r="F39" s="6" t="s">
        <v>11</v>
      </c>
      <c r="G39" s="8">
        <v>71.150000000000006</v>
      </c>
      <c r="H39" s="6"/>
    </row>
    <row r="40" spans="1:8">
      <c r="A40" s="5">
        <v>3281</v>
      </c>
      <c r="B40" s="6" t="str">
        <f>"艾乐娟"</f>
        <v>艾乐娟</v>
      </c>
      <c r="C40" s="6" t="str">
        <f>"女"</f>
        <v>女</v>
      </c>
      <c r="D40" s="6" t="str">
        <f>"202103034308"</f>
        <v>202103034308</v>
      </c>
      <c r="E40" s="10" t="s">
        <v>8</v>
      </c>
      <c r="F40" s="6" t="s">
        <v>11</v>
      </c>
      <c r="G40" s="8">
        <v>66.349999999999994</v>
      </c>
      <c r="H40" s="6"/>
    </row>
    <row r="41" spans="1:8">
      <c r="A41" s="5">
        <v>3282</v>
      </c>
      <c r="B41" s="6" t="str">
        <f>"陈仕锦"</f>
        <v>陈仕锦</v>
      </c>
      <c r="C41" s="6" t="str">
        <f>"女"</f>
        <v>女</v>
      </c>
      <c r="D41" s="6" t="str">
        <f>"202103034309"</f>
        <v>202103034309</v>
      </c>
      <c r="E41" s="10" t="s">
        <v>8</v>
      </c>
      <c r="F41" s="6" t="s">
        <v>11</v>
      </c>
      <c r="G41" s="8">
        <v>61.6</v>
      </c>
      <c r="H41" s="6"/>
    </row>
    <row r="42" spans="1:8">
      <c r="A42" s="5">
        <v>3278</v>
      </c>
      <c r="B42" s="6" t="str">
        <f>"赵欢笑"</f>
        <v>赵欢笑</v>
      </c>
      <c r="C42" s="6" t="str">
        <f>"女"</f>
        <v>女</v>
      </c>
      <c r="D42" s="6" t="str">
        <f>"202103034310"</f>
        <v>202103034310</v>
      </c>
      <c r="E42" s="10" t="s">
        <v>8</v>
      </c>
      <c r="F42" s="6" t="s">
        <v>11</v>
      </c>
      <c r="G42" s="8">
        <v>66.05</v>
      </c>
      <c r="H42" s="6"/>
    </row>
    <row r="43" spans="1:8">
      <c r="A43" s="5">
        <v>3292</v>
      </c>
      <c r="B43" s="6" t="str">
        <f>"朱时方"</f>
        <v>朱时方</v>
      </c>
      <c r="C43" s="6" t="str">
        <f>"男"</f>
        <v>男</v>
      </c>
      <c r="D43" s="6" t="str">
        <f>"202103034311"</f>
        <v>202103034311</v>
      </c>
      <c r="E43" s="10" t="s">
        <v>8</v>
      </c>
      <c r="F43" s="6" t="s">
        <v>11</v>
      </c>
      <c r="G43" s="8">
        <v>82.4</v>
      </c>
      <c r="H43" s="6"/>
    </row>
    <row r="44" spans="1:8">
      <c r="A44" s="5">
        <v>3279</v>
      </c>
      <c r="B44" s="6" t="str">
        <f>"廖珍珍"</f>
        <v>廖珍珍</v>
      </c>
      <c r="C44" s="6" t="str">
        <f>"女"</f>
        <v>女</v>
      </c>
      <c r="D44" s="6" t="str">
        <f>"202103034312"</f>
        <v>202103034312</v>
      </c>
      <c r="E44" s="10" t="s">
        <v>8</v>
      </c>
      <c r="F44" s="6" t="s">
        <v>11</v>
      </c>
      <c r="G44" s="8">
        <v>67.5</v>
      </c>
      <c r="H44" s="6"/>
    </row>
    <row r="45" spans="1:8">
      <c r="A45" s="5">
        <v>3289</v>
      </c>
      <c r="B45" s="6" t="str">
        <f>"张佳萍"</f>
        <v>张佳萍</v>
      </c>
      <c r="C45" s="6" t="str">
        <f>"女"</f>
        <v>女</v>
      </c>
      <c r="D45" s="6" t="str">
        <f>"202103034313"</f>
        <v>202103034313</v>
      </c>
      <c r="E45" s="10" t="s">
        <v>8</v>
      </c>
      <c r="F45" s="6" t="s">
        <v>11</v>
      </c>
      <c r="G45" s="8">
        <v>67.3</v>
      </c>
      <c r="H45" s="6"/>
    </row>
    <row r="46" spans="1:8">
      <c r="A46" s="5">
        <v>3283</v>
      </c>
      <c r="B46" s="6" t="str">
        <f>"蒋莎"</f>
        <v>蒋莎</v>
      </c>
      <c r="C46" s="6" t="str">
        <f>"女"</f>
        <v>女</v>
      </c>
      <c r="D46" s="6" t="str">
        <f>"202103034314"</f>
        <v>202103034314</v>
      </c>
      <c r="E46" s="10" t="s">
        <v>8</v>
      </c>
      <c r="F46" s="6" t="s">
        <v>11</v>
      </c>
      <c r="G46" s="8">
        <v>66.349999999999994</v>
      </c>
      <c r="H46" s="6"/>
    </row>
    <row r="47" spans="1:8">
      <c r="A47" s="5">
        <v>3284</v>
      </c>
      <c r="B47" s="6" t="str">
        <f>"姚博"</f>
        <v>姚博</v>
      </c>
      <c r="C47" s="6" t="str">
        <f>"男"</f>
        <v>男</v>
      </c>
      <c r="D47" s="6" t="str">
        <f>"202103034315"</f>
        <v>202103034315</v>
      </c>
      <c r="E47" s="10" t="s">
        <v>8</v>
      </c>
      <c r="F47" s="6" t="s">
        <v>11</v>
      </c>
      <c r="G47" s="8">
        <v>62.95</v>
      </c>
      <c r="H47" s="6"/>
    </row>
    <row r="48" spans="1:8">
      <c r="A48" s="5">
        <v>3277</v>
      </c>
      <c r="B48" s="6" t="str">
        <f>"陈明发"</f>
        <v>陈明发</v>
      </c>
      <c r="C48" s="6" t="str">
        <f>"男"</f>
        <v>男</v>
      </c>
      <c r="D48" s="6" t="str">
        <f>"202103034316"</f>
        <v>202103034316</v>
      </c>
      <c r="E48" s="10" t="s">
        <v>8</v>
      </c>
      <c r="F48" s="6" t="s">
        <v>11</v>
      </c>
      <c r="G48" s="8">
        <v>79.7</v>
      </c>
      <c r="H48" s="6"/>
    </row>
    <row r="49" spans="1:8">
      <c r="A49" s="5">
        <v>3288</v>
      </c>
      <c r="B49" s="6" t="str">
        <f>"谢丽萍"</f>
        <v>谢丽萍</v>
      </c>
      <c r="C49" s="6" t="str">
        <f>"女"</f>
        <v>女</v>
      </c>
      <c r="D49" s="6" t="str">
        <f>"202103034317"</f>
        <v>202103034317</v>
      </c>
      <c r="E49" s="10" t="s">
        <v>8</v>
      </c>
      <c r="F49" s="6" t="s">
        <v>11</v>
      </c>
      <c r="G49" s="8">
        <v>42.2</v>
      </c>
      <c r="H49" s="6"/>
    </row>
    <row r="50" spans="1:8">
      <c r="A50" s="5">
        <v>3291</v>
      </c>
      <c r="B50" s="6" t="str">
        <f>"李亮"</f>
        <v>李亮</v>
      </c>
      <c r="C50" s="6" t="str">
        <f>"男"</f>
        <v>男</v>
      </c>
      <c r="D50" s="6" t="str">
        <f>"202103034318"</f>
        <v>202103034318</v>
      </c>
      <c r="E50" s="10" t="s">
        <v>8</v>
      </c>
      <c r="F50" s="6" t="s">
        <v>11</v>
      </c>
      <c r="G50" s="8">
        <v>76.099999999999994</v>
      </c>
      <c r="H50" s="6"/>
    </row>
    <row r="51" spans="1:8">
      <c r="A51" s="5">
        <v>3297</v>
      </c>
      <c r="B51" s="6" t="str">
        <f>"李翔"</f>
        <v>李翔</v>
      </c>
      <c r="C51" s="6" t="str">
        <f>"男"</f>
        <v>男</v>
      </c>
      <c r="D51" s="6" t="str">
        <f>"202103034319"</f>
        <v>202103034319</v>
      </c>
      <c r="E51" s="10" t="s">
        <v>8</v>
      </c>
      <c r="F51" s="6" t="s">
        <v>11</v>
      </c>
      <c r="G51" s="8">
        <v>68.650000000000006</v>
      </c>
      <c r="H51" s="6"/>
    </row>
    <row r="52" spans="1:8">
      <c r="A52" s="5">
        <v>3293</v>
      </c>
      <c r="B52" s="6" t="str">
        <f>"易为鑫"</f>
        <v>易为鑫</v>
      </c>
      <c r="C52" s="6" t="str">
        <f>"男"</f>
        <v>男</v>
      </c>
      <c r="D52" s="6" t="str">
        <f>"202103034320"</f>
        <v>202103034320</v>
      </c>
      <c r="E52" s="10" t="s">
        <v>8</v>
      </c>
      <c r="F52" s="6" t="s">
        <v>11</v>
      </c>
      <c r="G52" s="8">
        <v>75.45</v>
      </c>
      <c r="H52" s="6"/>
    </row>
    <row r="53" spans="1:8">
      <c r="A53" s="5">
        <v>3290</v>
      </c>
      <c r="B53" s="6" t="str">
        <f>"何湘昀"</f>
        <v>何湘昀</v>
      </c>
      <c r="C53" s="6" t="str">
        <f t="shared" ref="C53:C58" si="1">"女"</f>
        <v>女</v>
      </c>
      <c r="D53" s="6" t="str">
        <f>"202103034321"</f>
        <v>202103034321</v>
      </c>
      <c r="E53" s="10" t="s">
        <v>8</v>
      </c>
      <c r="F53" s="6" t="s">
        <v>11</v>
      </c>
      <c r="G53" s="8">
        <v>69.45</v>
      </c>
      <c r="H53" s="6"/>
    </row>
    <row r="54" spans="1:8">
      <c r="A54" s="5">
        <v>3296</v>
      </c>
      <c r="B54" s="6" t="str">
        <f>"雷婵娟"</f>
        <v>雷婵娟</v>
      </c>
      <c r="C54" s="6" t="str">
        <f t="shared" si="1"/>
        <v>女</v>
      </c>
      <c r="D54" s="6" t="str">
        <f>"202103034322"</f>
        <v>202103034322</v>
      </c>
      <c r="E54" s="10" t="s">
        <v>8</v>
      </c>
      <c r="F54" s="6" t="s">
        <v>11</v>
      </c>
      <c r="G54" s="8">
        <v>0</v>
      </c>
      <c r="H54" s="9">
        <v>1</v>
      </c>
    </row>
    <row r="55" spans="1:8">
      <c r="A55" s="5">
        <v>3298</v>
      </c>
      <c r="B55" s="6" t="str">
        <f>"刘婷"</f>
        <v>刘婷</v>
      </c>
      <c r="C55" s="6" t="str">
        <f t="shared" si="1"/>
        <v>女</v>
      </c>
      <c r="D55" s="6" t="str">
        <f>"202103034323"</f>
        <v>202103034323</v>
      </c>
      <c r="E55" s="10" t="s">
        <v>8</v>
      </c>
      <c r="F55" s="6" t="s">
        <v>11</v>
      </c>
      <c r="G55" s="8">
        <v>76.150000000000006</v>
      </c>
      <c r="H55" s="6"/>
    </row>
    <row r="56" spans="1:8">
      <c r="A56" s="5">
        <v>3286</v>
      </c>
      <c r="B56" s="6" t="str">
        <f>"戴银华"</f>
        <v>戴银华</v>
      </c>
      <c r="C56" s="6" t="str">
        <f t="shared" si="1"/>
        <v>女</v>
      </c>
      <c r="D56" s="6" t="str">
        <f>"202103034324"</f>
        <v>202103034324</v>
      </c>
      <c r="E56" s="10" t="s">
        <v>8</v>
      </c>
      <c r="F56" s="6" t="s">
        <v>11</v>
      </c>
      <c r="G56" s="8">
        <v>0</v>
      </c>
      <c r="H56" s="9">
        <v>1</v>
      </c>
    </row>
    <row r="57" spans="1:8">
      <c r="A57" s="5">
        <v>3905</v>
      </c>
      <c r="B57" s="6" t="str">
        <f>"孙瑶"</f>
        <v>孙瑶</v>
      </c>
      <c r="C57" s="6" t="str">
        <f t="shared" si="1"/>
        <v>女</v>
      </c>
      <c r="D57" s="6" t="str">
        <f>"202104034325"</f>
        <v>202104034325</v>
      </c>
      <c r="E57" s="10" t="s">
        <v>8</v>
      </c>
      <c r="F57" s="6" t="s">
        <v>12</v>
      </c>
      <c r="G57" s="8">
        <v>59.7</v>
      </c>
      <c r="H57" s="6"/>
    </row>
    <row r="58" spans="1:8">
      <c r="A58" s="5">
        <v>3901</v>
      </c>
      <c r="B58" s="6" t="str">
        <f>"姚洁"</f>
        <v>姚洁</v>
      </c>
      <c r="C58" s="6" t="str">
        <f t="shared" si="1"/>
        <v>女</v>
      </c>
      <c r="D58" s="6" t="str">
        <f>"202104034326"</f>
        <v>202104034326</v>
      </c>
      <c r="E58" s="10" t="s">
        <v>8</v>
      </c>
      <c r="F58" s="6" t="s">
        <v>12</v>
      </c>
      <c r="G58" s="8">
        <v>64.55</v>
      </c>
      <c r="H58" s="6"/>
    </row>
    <row r="59" spans="1:8">
      <c r="A59" s="5">
        <v>3900</v>
      </c>
      <c r="B59" s="6" t="str">
        <f>"李德元"</f>
        <v>李德元</v>
      </c>
      <c r="C59" s="6" t="str">
        <f>"男"</f>
        <v>男</v>
      </c>
      <c r="D59" s="6" t="str">
        <f>"202104034327"</f>
        <v>202104034327</v>
      </c>
      <c r="E59" s="10" t="s">
        <v>8</v>
      </c>
      <c r="F59" s="6" t="s">
        <v>12</v>
      </c>
      <c r="G59" s="8">
        <v>0</v>
      </c>
      <c r="H59" s="9">
        <v>1</v>
      </c>
    </row>
    <row r="60" spans="1:8">
      <c r="A60" s="5">
        <v>3902</v>
      </c>
      <c r="B60" s="6" t="str">
        <f>"周姣美"</f>
        <v>周姣美</v>
      </c>
      <c r="C60" s="6" t="str">
        <f>"女"</f>
        <v>女</v>
      </c>
      <c r="D60" s="6" t="str">
        <f>"202104034328"</f>
        <v>202104034328</v>
      </c>
      <c r="E60" s="10" t="s">
        <v>8</v>
      </c>
      <c r="F60" s="6" t="s">
        <v>12</v>
      </c>
      <c r="G60" s="8">
        <v>67.55</v>
      </c>
      <c r="H60" s="6"/>
    </row>
    <row r="61" spans="1:8">
      <c r="A61" s="5">
        <v>3907</v>
      </c>
      <c r="B61" s="6" t="str">
        <f>"李光辉"</f>
        <v>李光辉</v>
      </c>
      <c r="C61" s="6" t="str">
        <f>"男"</f>
        <v>男</v>
      </c>
      <c r="D61" s="6" t="str">
        <f>"202104034329"</f>
        <v>202104034329</v>
      </c>
      <c r="E61" s="10" t="s">
        <v>8</v>
      </c>
      <c r="F61" s="6" t="s">
        <v>12</v>
      </c>
      <c r="G61" s="8">
        <v>68.25</v>
      </c>
      <c r="H61" s="6"/>
    </row>
    <row r="62" spans="1:8">
      <c r="A62" s="5">
        <v>3908</v>
      </c>
      <c r="B62" s="6" t="str">
        <f>"黄楚媚"</f>
        <v>黄楚媚</v>
      </c>
      <c r="C62" s="6" t="str">
        <f t="shared" ref="C62:C93" si="2">"女"</f>
        <v>女</v>
      </c>
      <c r="D62" s="6" t="str">
        <f>"202104034330"</f>
        <v>202104034330</v>
      </c>
      <c r="E62" s="10" t="s">
        <v>8</v>
      </c>
      <c r="F62" s="6" t="s">
        <v>12</v>
      </c>
      <c r="G62" s="8">
        <v>64.5</v>
      </c>
      <c r="H62" s="6"/>
    </row>
    <row r="63" spans="1:8">
      <c r="A63" s="5">
        <v>3903</v>
      </c>
      <c r="B63" s="6" t="str">
        <f>"杨娟"</f>
        <v>杨娟</v>
      </c>
      <c r="C63" s="6" t="str">
        <f t="shared" si="2"/>
        <v>女</v>
      </c>
      <c r="D63" s="6" t="str">
        <f>"202104034415"</f>
        <v>202104034415</v>
      </c>
      <c r="E63" s="10" t="s">
        <v>8</v>
      </c>
      <c r="F63" s="6" t="s">
        <v>12</v>
      </c>
      <c r="G63" s="8">
        <v>53.55</v>
      </c>
      <c r="H63" s="6"/>
    </row>
    <row r="64" spans="1:8">
      <c r="A64" s="5">
        <v>3906</v>
      </c>
      <c r="B64" s="6" t="str">
        <f>"申樊"</f>
        <v>申樊</v>
      </c>
      <c r="C64" s="6" t="str">
        <f t="shared" si="2"/>
        <v>女</v>
      </c>
      <c r="D64" s="6" t="str">
        <f>"202104034416"</f>
        <v>202104034416</v>
      </c>
      <c r="E64" s="10" t="s">
        <v>8</v>
      </c>
      <c r="F64" s="6" t="s">
        <v>12</v>
      </c>
      <c r="G64" s="8">
        <v>69.55</v>
      </c>
      <c r="H64" s="6"/>
    </row>
    <row r="65" spans="1:8">
      <c r="A65" s="5">
        <v>3904</v>
      </c>
      <c r="B65" s="6" t="str">
        <f>"曾丽"</f>
        <v>曾丽</v>
      </c>
      <c r="C65" s="6" t="str">
        <f t="shared" si="2"/>
        <v>女</v>
      </c>
      <c r="D65" s="6" t="str">
        <f>"202104034417"</f>
        <v>202104034417</v>
      </c>
      <c r="E65" s="10" t="s">
        <v>8</v>
      </c>
      <c r="F65" s="6" t="s">
        <v>12</v>
      </c>
      <c r="G65" s="8">
        <v>77.650000000000006</v>
      </c>
      <c r="H65" s="6"/>
    </row>
    <row r="66" spans="1:8">
      <c r="A66" s="5">
        <v>4287</v>
      </c>
      <c r="B66" s="6" t="str">
        <f>"尹芳"</f>
        <v>尹芳</v>
      </c>
      <c r="C66" s="6" t="str">
        <f t="shared" si="2"/>
        <v>女</v>
      </c>
      <c r="D66" s="6" t="str">
        <f>"202105022401"</f>
        <v>202105022401</v>
      </c>
      <c r="E66" s="10" t="s">
        <v>8</v>
      </c>
      <c r="F66" s="6" t="s">
        <v>13</v>
      </c>
      <c r="G66" s="8">
        <v>0</v>
      </c>
      <c r="H66" s="9">
        <v>1</v>
      </c>
    </row>
    <row r="67" spans="1:8">
      <c r="A67" s="5">
        <v>4268</v>
      </c>
      <c r="B67" s="6" t="str">
        <f>"邓旭霞"</f>
        <v>邓旭霞</v>
      </c>
      <c r="C67" s="6" t="str">
        <f t="shared" si="2"/>
        <v>女</v>
      </c>
      <c r="D67" s="6" t="str">
        <f>"202105022402"</f>
        <v>202105022402</v>
      </c>
      <c r="E67" s="10" t="s">
        <v>8</v>
      </c>
      <c r="F67" s="6" t="s">
        <v>13</v>
      </c>
      <c r="G67" s="8">
        <v>70</v>
      </c>
      <c r="H67" s="6"/>
    </row>
    <row r="68" spans="1:8">
      <c r="A68" s="5">
        <v>4308</v>
      </c>
      <c r="B68" s="6" t="str">
        <f>"郭宇风"</f>
        <v>郭宇风</v>
      </c>
      <c r="C68" s="6" t="str">
        <f t="shared" si="2"/>
        <v>女</v>
      </c>
      <c r="D68" s="6" t="str">
        <f>"202105022403"</f>
        <v>202105022403</v>
      </c>
      <c r="E68" s="10" t="s">
        <v>8</v>
      </c>
      <c r="F68" s="6" t="s">
        <v>13</v>
      </c>
      <c r="G68" s="8">
        <v>67.7</v>
      </c>
      <c r="H68" s="6"/>
    </row>
    <row r="69" spans="1:8">
      <c r="A69" s="5">
        <v>4323</v>
      </c>
      <c r="B69" s="6" t="str">
        <f>"周玉彬"</f>
        <v>周玉彬</v>
      </c>
      <c r="C69" s="6" t="str">
        <f t="shared" si="2"/>
        <v>女</v>
      </c>
      <c r="D69" s="6" t="str">
        <f>"202105022404"</f>
        <v>202105022404</v>
      </c>
      <c r="E69" s="10" t="s">
        <v>8</v>
      </c>
      <c r="F69" s="6" t="s">
        <v>13</v>
      </c>
      <c r="G69" s="8">
        <v>81.25</v>
      </c>
      <c r="H69" s="6"/>
    </row>
    <row r="70" spans="1:8">
      <c r="A70" s="5">
        <v>4282</v>
      </c>
      <c r="B70" s="6" t="str">
        <f>"谢芳琳"</f>
        <v>谢芳琳</v>
      </c>
      <c r="C70" s="6" t="str">
        <f t="shared" si="2"/>
        <v>女</v>
      </c>
      <c r="D70" s="6" t="str">
        <f>"202105022405"</f>
        <v>202105022405</v>
      </c>
      <c r="E70" s="10" t="s">
        <v>8</v>
      </c>
      <c r="F70" s="6" t="s">
        <v>13</v>
      </c>
      <c r="G70" s="8">
        <v>0</v>
      </c>
      <c r="H70" s="9">
        <v>1</v>
      </c>
    </row>
    <row r="71" spans="1:8">
      <c r="A71" s="5">
        <v>4313</v>
      </c>
      <c r="B71" s="6" t="str">
        <f>"唐文湘"</f>
        <v>唐文湘</v>
      </c>
      <c r="C71" s="6" t="str">
        <f t="shared" si="2"/>
        <v>女</v>
      </c>
      <c r="D71" s="6" t="str">
        <f>"202105022406"</f>
        <v>202105022406</v>
      </c>
      <c r="E71" s="10" t="s">
        <v>8</v>
      </c>
      <c r="F71" s="6" t="s">
        <v>13</v>
      </c>
      <c r="G71" s="8">
        <v>69.900000000000006</v>
      </c>
      <c r="H71" s="6"/>
    </row>
    <row r="72" spans="1:8">
      <c r="A72" s="5">
        <v>4297</v>
      </c>
      <c r="B72" s="6" t="str">
        <f>"杨瑾"</f>
        <v>杨瑾</v>
      </c>
      <c r="C72" s="6" t="str">
        <f t="shared" si="2"/>
        <v>女</v>
      </c>
      <c r="D72" s="6" t="str">
        <f>"202105022407"</f>
        <v>202105022407</v>
      </c>
      <c r="E72" s="10" t="s">
        <v>8</v>
      </c>
      <c r="F72" s="6" t="s">
        <v>13</v>
      </c>
      <c r="G72" s="8">
        <v>72.349999999999994</v>
      </c>
      <c r="H72" s="6"/>
    </row>
    <row r="73" spans="1:8">
      <c r="A73" s="5">
        <v>4301</v>
      </c>
      <c r="B73" s="6" t="str">
        <f>"孙如凤"</f>
        <v>孙如凤</v>
      </c>
      <c r="C73" s="6" t="str">
        <f t="shared" si="2"/>
        <v>女</v>
      </c>
      <c r="D73" s="6" t="str">
        <f>"202105022408"</f>
        <v>202105022408</v>
      </c>
      <c r="E73" s="10" t="s">
        <v>8</v>
      </c>
      <c r="F73" s="6" t="s">
        <v>13</v>
      </c>
      <c r="G73" s="8">
        <v>76.099999999999994</v>
      </c>
      <c r="H73" s="6"/>
    </row>
    <row r="74" spans="1:8">
      <c r="A74" s="5">
        <v>4293</v>
      </c>
      <c r="B74" s="6" t="str">
        <f>"刘宇秋"</f>
        <v>刘宇秋</v>
      </c>
      <c r="C74" s="6" t="str">
        <f t="shared" si="2"/>
        <v>女</v>
      </c>
      <c r="D74" s="6" t="str">
        <f>"202105022409"</f>
        <v>202105022409</v>
      </c>
      <c r="E74" s="10" t="s">
        <v>8</v>
      </c>
      <c r="F74" s="6" t="s">
        <v>13</v>
      </c>
      <c r="G74" s="8">
        <v>81.75</v>
      </c>
      <c r="H74" s="6"/>
    </row>
    <row r="75" spans="1:8">
      <c r="A75" s="5">
        <v>4312</v>
      </c>
      <c r="B75" s="6" t="str">
        <f>"欧阳慧子"</f>
        <v>欧阳慧子</v>
      </c>
      <c r="C75" s="6" t="str">
        <f t="shared" si="2"/>
        <v>女</v>
      </c>
      <c r="D75" s="6" t="str">
        <f>"202105022410"</f>
        <v>202105022410</v>
      </c>
      <c r="E75" s="10" t="s">
        <v>8</v>
      </c>
      <c r="F75" s="6" t="s">
        <v>13</v>
      </c>
      <c r="G75" s="8">
        <v>80.349999999999994</v>
      </c>
      <c r="H75" s="6"/>
    </row>
    <row r="76" spans="1:8">
      <c r="A76" s="5">
        <v>4267</v>
      </c>
      <c r="B76" s="6" t="str">
        <f>"刘洁"</f>
        <v>刘洁</v>
      </c>
      <c r="C76" s="6" t="str">
        <f t="shared" si="2"/>
        <v>女</v>
      </c>
      <c r="D76" s="6" t="str">
        <f>"202105022411"</f>
        <v>202105022411</v>
      </c>
      <c r="E76" s="10" t="s">
        <v>8</v>
      </c>
      <c r="F76" s="6" t="s">
        <v>13</v>
      </c>
      <c r="G76" s="8">
        <v>0</v>
      </c>
      <c r="H76" s="9">
        <v>1</v>
      </c>
    </row>
    <row r="77" spans="1:8">
      <c r="A77" s="5">
        <v>4273</v>
      </c>
      <c r="B77" s="6" t="str">
        <f>"戴菁"</f>
        <v>戴菁</v>
      </c>
      <c r="C77" s="6" t="str">
        <f t="shared" si="2"/>
        <v>女</v>
      </c>
      <c r="D77" s="6" t="str">
        <f>"202105022412"</f>
        <v>202105022412</v>
      </c>
      <c r="E77" s="10" t="s">
        <v>8</v>
      </c>
      <c r="F77" s="6" t="s">
        <v>13</v>
      </c>
      <c r="G77" s="8">
        <v>65.400000000000006</v>
      </c>
      <c r="H77" s="6"/>
    </row>
    <row r="78" spans="1:8">
      <c r="A78" s="5">
        <v>4290</v>
      </c>
      <c r="B78" s="6" t="str">
        <f>"何海玲"</f>
        <v>何海玲</v>
      </c>
      <c r="C78" s="6" t="str">
        <f t="shared" si="2"/>
        <v>女</v>
      </c>
      <c r="D78" s="6" t="str">
        <f>"202105022413"</f>
        <v>202105022413</v>
      </c>
      <c r="E78" s="10" t="s">
        <v>8</v>
      </c>
      <c r="F78" s="6" t="s">
        <v>13</v>
      </c>
      <c r="G78" s="8">
        <v>77.400000000000006</v>
      </c>
      <c r="H78" s="6"/>
    </row>
    <row r="79" spans="1:8">
      <c r="A79" s="5">
        <v>4307</v>
      </c>
      <c r="B79" s="6" t="str">
        <f>"肖玉娟"</f>
        <v>肖玉娟</v>
      </c>
      <c r="C79" s="6" t="str">
        <f t="shared" si="2"/>
        <v>女</v>
      </c>
      <c r="D79" s="6" t="str">
        <f>"202105022414"</f>
        <v>202105022414</v>
      </c>
      <c r="E79" s="10" t="s">
        <v>8</v>
      </c>
      <c r="F79" s="6" t="s">
        <v>13</v>
      </c>
      <c r="G79" s="8">
        <v>69</v>
      </c>
      <c r="H79" s="6"/>
    </row>
    <row r="80" spans="1:8">
      <c r="A80" s="5">
        <v>4262</v>
      </c>
      <c r="B80" s="6" t="str">
        <f>"周芳"</f>
        <v>周芳</v>
      </c>
      <c r="C80" s="6" t="str">
        <f t="shared" si="2"/>
        <v>女</v>
      </c>
      <c r="D80" s="6" t="str">
        <f>"202105022415"</f>
        <v>202105022415</v>
      </c>
      <c r="E80" s="10" t="s">
        <v>8</v>
      </c>
      <c r="F80" s="6" t="s">
        <v>13</v>
      </c>
      <c r="G80" s="8">
        <v>71.099999999999994</v>
      </c>
      <c r="H80" s="6"/>
    </row>
    <row r="81" spans="1:8">
      <c r="A81" s="5">
        <v>4298</v>
      </c>
      <c r="B81" s="6" t="str">
        <f>"肖立风"</f>
        <v>肖立风</v>
      </c>
      <c r="C81" s="6" t="str">
        <f t="shared" si="2"/>
        <v>女</v>
      </c>
      <c r="D81" s="6" t="str">
        <f>"202105022416"</f>
        <v>202105022416</v>
      </c>
      <c r="E81" s="10" t="s">
        <v>8</v>
      </c>
      <c r="F81" s="6" t="s">
        <v>13</v>
      </c>
      <c r="G81" s="8">
        <v>62.85</v>
      </c>
      <c r="H81" s="6"/>
    </row>
    <row r="82" spans="1:8">
      <c r="A82" s="5">
        <v>4303</v>
      </c>
      <c r="B82" s="6" t="str">
        <f>"阮亮"</f>
        <v>阮亮</v>
      </c>
      <c r="C82" s="6" t="str">
        <f t="shared" si="2"/>
        <v>女</v>
      </c>
      <c r="D82" s="6" t="str">
        <f>"202105022417"</f>
        <v>202105022417</v>
      </c>
      <c r="E82" s="10" t="s">
        <v>8</v>
      </c>
      <c r="F82" s="6" t="s">
        <v>13</v>
      </c>
      <c r="G82" s="8">
        <v>73.95</v>
      </c>
      <c r="H82" s="6"/>
    </row>
    <row r="83" spans="1:8">
      <c r="A83" s="5">
        <v>4291</v>
      </c>
      <c r="B83" s="6" t="str">
        <f>"苑宸"</f>
        <v>苑宸</v>
      </c>
      <c r="C83" s="6" t="str">
        <f t="shared" si="2"/>
        <v>女</v>
      </c>
      <c r="D83" s="6" t="str">
        <f>"202105022418"</f>
        <v>202105022418</v>
      </c>
      <c r="E83" s="10" t="s">
        <v>8</v>
      </c>
      <c r="F83" s="6" t="s">
        <v>13</v>
      </c>
      <c r="G83" s="8">
        <v>64.3</v>
      </c>
      <c r="H83" s="6"/>
    </row>
    <row r="84" spans="1:8">
      <c r="A84" s="5">
        <v>4266</v>
      </c>
      <c r="B84" s="6" t="str">
        <f>"邓柳飞"</f>
        <v>邓柳飞</v>
      </c>
      <c r="C84" s="6" t="str">
        <f t="shared" si="2"/>
        <v>女</v>
      </c>
      <c r="D84" s="6" t="str">
        <f>"202105022419"</f>
        <v>202105022419</v>
      </c>
      <c r="E84" s="10" t="s">
        <v>8</v>
      </c>
      <c r="F84" s="6" t="s">
        <v>13</v>
      </c>
      <c r="G84" s="8">
        <v>70.099999999999994</v>
      </c>
      <c r="H84" s="6"/>
    </row>
    <row r="85" spans="1:8">
      <c r="A85" s="5">
        <v>4289</v>
      </c>
      <c r="B85" s="6" t="str">
        <f>"曾偲"</f>
        <v>曾偲</v>
      </c>
      <c r="C85" s="6" t="str">
        <f t="shared" si="2"/>
        <v>女</v>
      </c>
      <c r="D85" s="6" t="str">
        <f>"202105022420"</f>
        <v>202105022420</v>
      </c>
      <c r="E85" s="10" t="s">
        <v>8</v>
      </c>
      <c r="F85" s="6" t="s">
        <v>13</v>
      </c>
      <c r="G85" s="8">
        <v>0</v>
      </c>
      <c r="H85" s="9">
        <v>1</v>
      </c>
    </row>
    <row r="86" spans="1:8">
      <c r="A86" s="5">
        <v>4270</v>
      </c>
      <c r="B86" s="6" t="str">
        <f>"彭樱花"</f>
        <v>彭樱花</v>
      </c>
      <c r="C86" s="6" t="str">
        <f t="shared" si="2"/>
        <v>女</v>
      </c>
      <c r="D86" s="6" t="str">
        <f>"202105022421"</f>
        <v>202105022421</v>
      </c>
      <c r="E86" s="10" t="s">
        <v>8</v>
      </c>
      <c r="F86" s="6" t="s">
        <v>13</v>
      </c>
      <c r="G86" s="8">
        <v>69.95</v>
      </c>
      <c r="H86" s="6"/>
    </row>
    <row r="87" spans="1:8">
      <c r="A87" s="5">
        <v>4310</v>
      </c>
      <c r="B87" s="6" t="str">
        <f>"周一凡"</f>
        <v>周一凡</v>
      </c>
      <c r="C87" s="6" t="str">
        <f t="shared" si="2"/>
        <v>女</v>
      </c>
      <c r="D87" s="6" t="str">
        <f>"202105022422"</f>
        <v>202105022422</v>
      </c>
      <c r="E87" s="10" t="s">
        <v>8</v>
      </c>
      <c r="F87" s="6" t="s">
        <v>13</v>
      </c>
      <c r="G87" s="8">
        <v>70.900000000000006</v>
      </c>
      <c r="H87" s="6"/>
    </row>
    <row r="88" spans="1:8">
      <c r="A88" s="5">
        <v>4274</v>
      </c>
      <c r="B88" s="6" t="str">
        <f>"袁海凤"</f>
        <v>袁海凤</v>
      </c>
      <c r="C88" s="6" t="str">
        <f t="shared" si="2"/>
        <v>女</v>
      </c>
      <c r="D88" s="6" t="str">
        <f>"202105022423"</f>
        <v>202105022423</v>
      </c>
      <c r="E88" s="10" t="s">
        <v>8</v>
      </c>
      <c r="F88" s="6" t="s">
        <v>13</v>
      </c>
      <c r="G88" s="8">
        <v>72.75</v>
      </c>
      <c r="H88" s="6"/>
    </row>
    <row r="89" spans="1:8">
      <c r="A89" s="5">
        <v>4324</v>
      </c>
      <c r="B89" s="6" t="str">
        <f>"刘一帆"</f>
        <v>刘一帆</v>
      </c>
      <c r="C89" s="6" t="str">
        <f t="shared" si="2"/>
        <v>女</v>
      </c>
      <c r="D89" s="6" t="str">
        <f>"202105022424"</f>
        <v>202105022424</v>
      </c>
      <c r="E89" s="10" t="s">
        <v>8</v>
      </c>
      <c r="F89" s="6" t="s">
        <v>13</v>
      </c>
      <c r="G89" s="8">
        <v>67</v>
      </c>
      <c r="H89" s="6"/>
    </row>
    <row r="90" spans="1:8">
      <c r="A90" s="5">
        <v>4279</v>
      </c>
      <c r="B90" s="6" t="str">
        <f>"杨琴"</f>
        <v>杨琴</v>
      </c>
      <c r="C90" s="6" t="str">
        <f t="shared" si="2"/>
        <v>女</v>
      </c>
      <c r="D90" s="6" t="str">
        <f>"202105022425"</f>
        <v>202105022425</v>
      </c>
      <c r="E90" s="10" t="s">
        <v>8</v>
      </c>
      <c r="F90" s="6" t="s">
        <v>13</v>
      </c>
      <c r="G90" s="8">
        <v>76.099999999999994</v>
      </c>
      <c r="H90" s="6"/>
    </row>
    <row r="91" spans="1:8">
      <c r="A91" s="5">
        <v>4304</v>
      </c>
      <c r="B91" s="6" t="str">
        <f>"曾朵云"</f>
        <v>曾朵云</v>
      </c>
      <c r="C91" s="6" t="str">
        <f t="shared" si="2"/>
        <v>女</v>
      </c>
      <c r="D91" s="6" t="str">
        <f>"202105022426"</f>
        <v>202105022426</v>
      </c>
      <c r="E91" s="10" t="s">
        <v>8</v>
      </c>
      <c r="F91" s="6" t="s">
        <v>13</v>
      </c>
      <c r="G91" s="8">
        <v>61.45</v>
      </c>
      <c r="H91" s="6"/>
    </row>
    <row r="92" spans="1:8">
      <c r="A92" s="5">
        <v>4261</v>
      </c>
      <c r="B92" s="6" t="str">
        <f>"李琪琪"</f>
        <v>李琪琪</v>
      </c>
      <c r="C92" s="6" t="str">
        <f t="shared" si="2"/>
        <v>女</v>
      </c>
      <c r="D92" s="6" t="str">
        <f>"202105022427"</f>
        <v>202105022427</v>
      </c>
      <c r="E92" s="10" t="s">
        <v>8</v>
      </c>
      <c r="F92" s="6" t="s">
        <v>13</v>
      </c>
      <c r="G92" s="8">
        <v>0</v>
      </c>
      <c r="H92" s="9">
        <v>1</v>
      </c>
    </row>
    <row r="93" spans="1:8">
      <c r="A93" s="5">
        <v>4265</v>
      </c>
      <c r="B93" s="6" t="str">
        <f>"胡双容"</f>
        <v>胡双容</v>
      </c>
      <c r="C93" s="6" t="str">
        <f t="shared" si="2"/>
        <v>女</v>
      </c>
      <c r="D93" s="6" t="str">
        <f>"202105022428"</f>
        <v>202105022428</v>
      </c>
      <c r="E93" s="10" t="s">
        <v>8</v>
      </c>
      <c r="F93" s="6" t="s">
        <v>13</v>
      </c>
      <c r="G93" s="8">
        <v>69.650000000000006</v>
      </c>
      <c r="H93" s="6"/>
    </row>
    <row r="94" spans="1:8">
      <c r="A94" s="5">
        <v>4311</v>
      </c>
      <c r="B94" s="6" t="str">
        <f>"向佳妮"</f>
        <v>向佳妮</v>
      </c>
      <c r="C94" s="6" t="str">
        <f t="shared" ref="C94:C117" si="3">"女"</f>
        <v>女</v>
      </c>
      <c r="D94" s="6" t="str">
        <f>"202105022429"</f>
        <v>202105022429</v>
      </c>
      <c r="E94" s="10" t="s">
        <v>8</v>
      </c>
      <c r="F94" s="6" t="s">
        <v>13</v>
      </c>
      <c r="G94" s="8">
        <v>68.599999999999994</v>
      </c>
      <c r="H94" s="6"/>
    </row>
    <row r="95" spans="1:8">
      <c r="A95" s="5">
        <v>4300</v>
      </c>
      <c r="B95" s="6" t="str">
        <f>"罗思思"</f>
        <v>罗思思</v>
      </c>
      <c r="C95" s="6" t="str">
        <f t="shared" si="3"/>
        <v>女</v>
      </c>
      <c r="D95" s="6" t="str">
        <f>"202105022430"</f>
        <v>202105022430</v>
      </c>
      <c r="E95" s="10" t="s">
        <v>8</v>
      </c>
      <c r="F95" s="6" t="s">
        <v>13</v>
      </c>
      <c r="G95" s="8">
        <v>60.6</v>
      </c>
      <c r="H95" s="6"/>
    </row>
    <row r="96" spans="1:8">
      <c r="A96" s="5">
        <v>4260</v>
      </c>
      <c r="B96" s="6" t="str">
        <f>"李荣"</f>
        <v>李荣</v>
      </c>
      <c r="C96" s="6" t="str">
        <f t="shared" si="3"/>
        <v>女</v>
      </c>
      <c r="D96" s="6" t="str">
        <f>"202105022501"</f>
        <v>202105022501</v>
      </c>
      <c r="E96" s="10" t="s">
        <v>8</v>
      </c>
      <c r="F96" s="6" t="s">
        <v>13</v>
      </c>
      <c r="G96" s="8">
        <v>63.4</v>
      </c>
      <c r="H96" s="6"/>
    </row>
    <row r="97" spans="1:8">
      <c r="A97" s="5">
        <v>4316</v>
      </c>
      <c r="B97" s="6" t="str">
        <f>"付姜"</f>
        <v>付姜</v>
      </c>
      <c r="C97" s="6" t="str">
        <f t="shared" si="3"/>
        <v>女</v>
      </c>
      <c r="D97" s="6" t="str">
        <f>"202105022502"</f>
        <v>202105022502</v>
      </c>
      <c r="E97" s="10" t="s">
        <v>8</v>
      </c>
      <c r="F97" s="6" t="s">
        <v>13</v>
      </c>
      <c r="G97" s="8">
        <v>80.099999999999994</v>
      </c>
      <c r="H97" s="6"/>
    </row>
    <row r="98" spans="1:8">
      <c r="A98" s="5">
        <v>4264</v>
      </c>
      <c r="B98" s="6" t="str">
        <f>"李希文"</f>
        <v>李希文</v>
      </c>
      <c r="C98" s="6" t="str">
        <f t="shared" si="3"/>
        <v>女</v>
      </c>
      <c r="D98" s="6" t="str">
        <f>"202105022503"</f>
        <v>202105022503</v>
      </c>
      <c r="E98" s="10" t="s">
        <v>8</v>
      </c>
      <c r="F98" s="6" t="s">
        <v>13</v>
      </c>
      <c r="G98" s="8">
        <v>88.15</v>
      </c>
      <c r="H98" s="6"/>
    </row>
    <row r="99" spans="1:8">
      <c r="A99" s="5">
        <v>4318</v>
      </c>
      <c r="B99" s="6" t="str">
        <f>"孙丹丹"</f>
        <v>孙丹丹</v>
      </c>
      <c r="C99" s="6" t="str">
        <f t="shared" si="3"/>
        <v>女</v>
      </c>
      <c r="D99" s="6" t="str">
        <f>"202105022504"</f>
        <v>202105022504</v>
      </c>
      <c r="E99" s="10" t="s">
        <v>8</v>
      </c>
      <c r="F99" s="6" t="s">
        <v>13</v>
      </c>
      <c r="G99" s="8">
        <v>78.349999999999994</v>
      </c>
      <c r="H99" s="6"/>
    </row>
    <row r="100" spans="1:8">
      <c r="A100" s="5">
        <v>4271</v>
      </c>
      <c r="B100" s="6" t="str">
        <f>"姜财路"</f>
        <v>姜财路</v>
      </c>
      <c r="C100" s="6" t="str">
        <f t="shared" si="3"/>
        <v>女</v>
      </c>
      <c r="D100" s="6" t="str">
        <f>"202105022505"</f>
        <v>202105022505</v>
      </c>
      <c r="E100" s="10" t="s">
        <v>8</v>
      </c>
      <c r="F100" s="6" t="s">
        <v>13</v>
      </c>
      <c r="G100" s="8">
        <v>84.15</v>
      </c>
      <c r="H100" s="6"/>
    </row>
    <row r="101" spans="1:8">
      <c r="A101" s="5">
        <v>4259</v>
      </c>
      <c r="B101" s="6" t="str">
        <f>"袁旭东"</f>
        <v>袁旭东</v>
      </c>
      <c r="C101" s="6" t="str">
        <f t="shared" si="3"/>
        <v>女</v>
      </c>
      <c r="D101" s="6" t="str">
        <f>"202105022506"</f>
        <v>202105022506</v>
      </c>
      <c r="E101" s="10" t="s">
        <v>8</v>
      </c>
      <c r="F101" s="6" t="s">
        <v>13</v>
      </c>
      <c r="G101" s="8">
        <v>0</v>
      </c>
      <c r="H101" s="9">
        <v>1</v>
      </c>
    </row>
    <row r="102" spans="1:8">
      <c r="A102" s="5">
        <v>4305</v>
      </c>
      <c r="B102" s="6" t="str">
        <f>"周姿汝"</f>
        <v>周姿汝</v>
      </c>
      <c r="C102" s="6" t="str">
        <f t="shared" si="3"/>
        <v>女</v>
      </c>
      <c r="D102" s="6" t="str">
        <f>"202105022507"</f>
        <v>202105022507</v>
      </c>
      <c r="E102" s="10" t="s">
        <v>8</v>
      </c>
      <c r="F102" s="6" t="s">
        <v>13</v>
      </c>
      <c r="G102" s="8">
        <v>64.7</v>
      </c>
      <c r="H102" s="6"/>
    </row>
    <row r="103" spans="1:8">
      <c r="A103" s="5">
        <v>4275</v>
      </c>
      <c r="B103" s="6" t="str">
        <f>"孙梦玲"</f>
        <v>孙梦玲</v>
      </c>
      <c r="C103" s="6" t="str">
        <f t="shared" si="3"/>
        <v>女</v>
      </c>
      <c r="D103" s="6" t="str">
        <f>"202105022508"</f>
        <v>202105022508</v>
      </c>
      <c r="E103" s="10" t="s">
        <v>8</v>
      </c>
      <c r="F103" s="6" t="s">
        <v>13</v>
      </c>
      <c r="G103" s="8">
        <v>77.849999999999994</v>
      </c>
      <c r="H103" s="6"/>
    </row>
    <row r="104" spans="1:8">
      <c r="A104" s="5">
        <v>4306</v>
      </c>
      <c r="B104" s="6" t="str">
        <f>"黄颖"</f>
        <v>黄颖</v>
      </c>
      <c r="C104" s="6" t="str">
        <f t="shared" si="3"/>
        <v>女</v>
      </c>
      <c r="D104" s="6" t="str">
        <f>"202105022509"</f>
        <v>202105022509</v>
      </c>
      <c r="E104" s="10" t="s">
        <v>8</v>
      </c>
      <c r="F104" s="6" t="s">
        <v>13</v>
      </c>
      <c r="G104" s="8">
        <v>79.900000000000006</v>
      </c>
      <c r="H104" s="6"/>
    </row>
    <row r="105" spans="1:8">
      <c r="A105" s="5">
        <v>4281</v>
      </c>
      <c r="B105" s="6" t="str">
        <f>"向丽"</f>
        <v>向丽</v>
      </c>
      <c r="C105" s="6" t="str">
        <f t="shared" si="3"/>
        <v>女</v>
      </c>
      <c r="D105" s="6" t="str">
        <f>"202105022510"</f>
        <v>202105022510</v>
      </c>
      <c r="E105" s="10" t="s">
        <v>8</v>
      </c>
      <c r="F105" s="6" t="s">
        <v>13</v>
      </c>
      <c r="G105" s="8">
        <v>82.3</v>
      </c>
      <c r="H105" s="6"/>
    </row>
    <row r="106" spans="1:8">
      <c r="A106" s="5">
        <v>4278</v>
      </c>
      <c r="B106" s="6" t="str">
        <f>"田文婷"</f>
        <v>田文婷</v>
      </c>
      <c r="C106" s="6" t="str">
        <f t="shared" si="3"/>
        <v>女</v>
      </c>
      <c r="D106" s="6" t="str">
        <f>"202105022511"</f>
        <v>202105022511</v>
      </c>
      <c r="E106" s="10" t="s">
        <v>8</v>
      </c>
      <c r="F106" s="6" t="s">
        <v>13</v>
      </c>
      <c r="G106" s="8">
        <v>80.7</v>
      </c>
      <c r="H106" s="6"/>
    </row>
    <row r="107" spans="1:8">
      <c r="A107" s="5">
        <v>4321</v>
      </c>
      <c r="B107" s="6" t="str">
        <f>"杨娉娉"</f>
        <v>杨娉娉</v>
      </c>
      <c r="C107" s="6" t="str">
        <f t="shared" si="3"/>
        <v>女</v>
      </c>
      <c r="D107" s="6" t="str">
        <f>"202105022512"</f>
        <v>202105022512</v>
      </c>
      <c r="E107" s="10" t="s">
        <v>8</v>
      </c>
      <c r="F107" s="6" t="s">
        <v>13</v>
      </c>
      <c r="G107" s="8">
        <v>69.95</v>
      </c>
      <c r="H107" s="6"/>
    </row>
    <row r="108" spans="1:8">
      <c r="A108" s="5">
        <v>4277</v>
      </c>
      <c r="B108" s="6" t="str">
        <f>"李婷"</f>
        <v>李婷</v>
      </c>
      <c r="C108" s="6" t="str">
        <f t="shared" si="3"/>
        <v>女</v>
      </c>
      <c r="D108" s="6" t="str">
        <f>"202105022513"</f>
        <v>202105022513</v>
      </c>
      <c r="E108" s="10" t="s">
        <v>8</v>
      </c>
      <c r="F108" s="6" t="s">
        <v>13</v>
      </c>
      <c r="G108" s="8">
        <v>75.05</v>
      </c>
      <c r="H108" s="6"/>
    </row>
    <row r="109" spans="1:8">
      <c r="A109" s="5">
        <v>4286</v>
      </c>
      <c r="B109" s="6" t="str">
        <f>"蒋芥芝"</f>
        <v>蒋芥芝</v>
      </c>
      <c r="C109" s="6" t="str">
        <f t="shared" si="3"/>
        <v>女</v>
      </c>
      <c r="D109" s="6" t="str">
        <f>"202105022514"</f>
        <v>202105022514</v>
      </c>
      <c r="E109" s="10" t="s">
        <v>8</v>
      </c>
      <c r="F109" s="6" t="s">
        <v>13</v>
      </c>
      <c r="G109" s="8">
        <v>78.8</v>
      </c>
      <c r="H109" s="6"/>
    </row>
    <row r="110" spans="1:8">
      <c r="A110" s="5">
        <v>4319</v>
      </c>
      <c r="B110" s="6" t="str">
        <f>"蔡明慧"</f>
        <v>蔡明慧</v>
      </c>
      <c r="C110" s="6" t="str">
        <f t="shared" si="3"/>
        <v>女</v>
      </c>
      <c r="D110" s="6" t="str">
        <f>"202105022515"</f>
        <v>202105022515</v>
      </c>
      <c r="E110" s="10" t="s">
        <v>8</v>
      </c>
      <c r="F110" s="6" t="s">
        <v>13</v>
      </c>
      <c r="G110" s="8">
        <v>69.8</v>
      </c>
      <c r="H110" s="6"/>
    </row>
    <row r="111" spans="1:8">
      <c r="A111" s="5">
        <v>4276</v>
      </c>
      <c r="B111" s="6" t="str">
        <f>"廖敏洁"</f>
        <v>廖敏洁</v>
      </c>
      <c r="C111" s="6" t="str">
        <f t="shared" si="3"/>
        <v>女</v>
      </c>
      <c r="D111" s="6" t="str">
        <f>"202105022516"</f>
        <v>202105022516</v>
      </c>
      <c r="E111" s="10" t="s">
        <v>8</v>
      </c>
      <c r="F111" s="6" t="s">
        <v>13</v>
      </c>
      <c r="G111" s="8">
        <v>78.75</v>
      </c>
      <c r="H111" s="6"/>
    </row>
    <row r="112" spans="1:8">
      <c r="A112" s="5">
        <v>4288</v>
      </c>
      <c r="B112" s="6" t="str">
        <f>"杨雅婷"</f>
        <v>杨雅婷</v>
      </c>
      <c r="C112" s="6" t="str">
        <f t="shared" si="3"/>
        <v>女</v>
      </c>
      <c r="D112" s="6" t="str">
        <f>"202105022517"</f>
        <v>202105022517</v>
      </c>
      <c r="E112" s="10" t="s">
        <v>8</v>
      </c>
      <c r="F112" s="6" t="s">
        <v>13</v>
      </c>
      <c r="G112" s="8">
        <v>0</v>
      </c>
      <c r="H112" s="9">
        <v>1</v>
      </c>
    </row>
    <row r="113" spans="1:8">
      <c r="A113" s="5">
        <v>4269</v>
      </c>
      <c r="B113" s="6" t="str">
        <f>"贺阿凤"</f>
        <v>贺阿凤</v>
      </c>
      <c r="C113" s="6" t="str">
        <f t="shared" si="3"/>
        <v>女</v>
      </c>
      <c r="D113" s="6" t="str">
        <f>"202105022518"</f>
        <v>202105022518</v>
      </c>
      <c r="E113" s="10" t="s">
        <v>8</v>
      </c>
      <c r="F113" s="6" t="s">
        <v>13</v>
      </c>
      <c r="G113" s="8">
        <v>86</v>
      </c>
      <c r="H113" s="6"/>
    </row>
    <row r="114" spans="1:8">
      <c r="A114" s="5">
        <v>4296</v>
      </c>
      <c r="B114" s="6" t="str">
        <f>"蒋琴琴"</f>
        <v>蒋琴琴</v>
      </c>
      <c r="C114" s="6" t="str">
        <f t="shared" si="3"/>
        <v>女</v>
      </c>
      <c r="D114" s="6" t="str">
        <f>"202105022519"</f>
        <v>202105022519</v>
      </c>
      <c r="E114" s="10" t="s">
        <v>8</v>
      </c>
      <c r="F114" s="6" t="s">
        <v>13</v>
      </c>
      <c r="G114" s="8">
        <v>85.35</v>
      </c>
      <c r="H114" s="6"/>
    </row>
    <row r="115" spans="1:8">
      <c r="A115" s="5">
        <v>4317</v>
      </c>
      <c r="B115" s="6" t="str">
        <f>"肖翠屏"</f>
        <v>肖翠屏</v>
      </c>
      <c r="C115" s="6" t="str">
        <f t="shared" si="3"/>
        <v>女</v>
      </c>
      <c r="D115" s="6" t="str">
        <f>"202105022520"</f>
        <v>202105022520</v>
      </c>
      <c r="E115" s="10" t="s">
        <v>8</v>
      </c>
      <c r="F115" s="6" t="s">
        <v>13</v>
      </c>
      <c r="G115" s="8">
        <v>75.099999999999994</v>
      </c>
      <c r="H115" s="6"/>
    </row>
    <row r="116" spans="1:8">
      <c r="A116" s="5">
        <v>4299</v>
      </c>
      <c r="B116" s="6" t="str">
        <f>"唐静文"</f>
        <v>唐静文</v>
      </c>
      <c r="C116" s="6" t="str">
        <f t="shared" si="3"/>
        <v>女</v>
      </c>
      <c r="D116" s="6" t="str">
        <f>"202105022521"</f>
        <v>202105022521</v>
      </c>
      <c r="E116" s="10" t="s">
        <v>8</v>
      </c>
      <c r="F116" s="6" t="s">
        <v>13</v>
      </c>
      <c r="G116" s="8">
        <v>74.45</v>
      </c>
      <c r="H116" s="6"/>
    </row>
    <row r="117" spans="1:8">
      <c r="A117" s="5">
        <v>4263</v>
      </c>
      <c r="B117" s="6" t="str">
        <f>"王暑文"</f>
        <v>王暑文</v>
      </c>
      <c r="C117" s="6" t="str">
        <f t="shared" si="3"/>
        <v>女</v>
      </c>
      <c r="D117" s="6" t="str">
        <f>"202105022522"</f>
        <v>202105022522</v>
      </c>
      <c r="E117" s="10" t="s">
        <v>8</v>
      </c>
      <c r="F117" s="6" t="s">
        <v>13</v>
      </c>
      <c r="G117" s="8">
        <v>52.6</v>
      </c>
      <c r="H117" s="6"/>
    </row>
    <row r="118" spans="1:8">
      <c r="A118" s="5">
        <v>4315</v>
      </c>
      <c r="B118" s="6" t="str">
        <f>"蒋子梦"</f>
        <v>蒋子梦</v>
      </c>
      <c r="C118" s="6" t="str">
        <f>"男"</f>
        <v>男</v>
      </c>
      <c r="D118" s="6" t="str">
        <f>"202105022523"</f>
        <v>202105022523</v>
      </c>
      <c r="E118" s="10" t="s">
        <v>8</v>
      </c>
      <c r="F118" s="6" t="s">
        <v>13</v>
      </c>
      <c r="G118" s="8">
        <v>68.7</v>
      </c>
      <c r="H118" s="6"/>
    </row>
    <row r="119" spans="1:8">
      <c r="A119" s="5">
        <v>4283</v>
      </c>
      <c r="B119" s="6" t="str">
        <f>"林姣"</f>
        <v>林姣</v>
      </c>
      <c r="C119" s="6" t="str">
        <f t="shared" ref="C119:C128" si="4">"女"</f>
        <v>女</v>
      </c>
      <c r="D119" s="6" t="str">
        <f>"202105022524"</f>
        <v>202105022524</v>
      </c>
      <c r="E119" s="10" t="s">
        <v>8</v>
      </c>
      <c r="F119" s="6" t="s">
        <v>13</v>
      </c>
      <c r="G119" s="8">
        <v>78</v>
      </c>
      <c r="H119" s="6"/>
    </row>
    <row r="120" spans="1:8">
      <c r="A120" s="5">
        <v>4309</v>
      </c>
      <c r="B120" s="6" t="str">
        <f>"蒋琪"</f>
        <v>蒋琪</v>
      </c>
      <c r="C120" s="6" t="str">
        <f t="shared" si="4"/>
        <v>女</v>
      </c>
      <c r="D120" s="6" t="str">
        <f>"202105022525"</f>
        <v>202105022525</v>
      </c>
      <c r="E120" s="10" t="s">
        <v>8</v>
      </c>
      <c r="F120" s="6" t="s">
        <v>13</v>
      </c>
      <c r="G120" s="8">
        <v>63.75</v>
      </c>
      <c r="H120" s="6"/>
    </row>
    <row r="121" spans="1:8">
      <c r="A121" s="5">
        <v>4302</v>
      </c>
      <c r="B121" s="6" t="str">
        <f>"袁湘贞"</f>
        <v>袁湘贞</v>
      </c>
      <c r="C121" s="6" t="str">
        <f t="shared" si="4"/>
        <v>女</v>
      </c>
      <c r="D121" s="6" t="str">
        <f>"202105022526"</f>
        <v>202105022526</v>
      </c>
      <c r="E121" s="10" t="s">
        <v>8</v>
      </c>
      <c r="F121" s="6" t="s">
        <v>13</v>
      </c>
      <c r="G121" s="8">
        <v>73.2</v>
      </c>
      <c r="H121" s="6"/>
    </row>
    <row r="122" spans="1:8">
      <c r="A122" s="5">
        <v>4295</v>
      </c>
      <c r="B122" s="6" t="str">
        <f>"杨嘉雯"</f>
        <v>杨嘉雯</v>
      </c>
      <c r="C122" s="6" t="str">
        <f t="shared" si="4"/>
        <v>女</v>
      </c>
      <c r="D122" s="6" t="str">
        <f>"202105022527"</f>
        <v>202105022527</v>
      </c>
      <c r="E122" s="10" t="s">
        <v>8</v>
      </c>
      <c r="F122" s="6" t="s">
        <v>13</v>
      </c>
      <c r="G122" s="8">
        <v>66.599999999999994</v>
      </c>
      <c r="H122" s="6"/>
    </row>
    <row r="123" spans="1:8">
      <c r="A123" s="5">
        <v>4280</v>
      </c>
      <c r="B123" s="6" t="str">
        <f>"唐依"</f>
        <v>唐依</v>
      </c>
      <c r="C123" s="6" t="str">
        <f t="shared" si="4"/>
        <v>女</v>
      </c>
      <c r="D123" s="6" t="str">
        <f>"202105022528"</f>
        <v>202105022528</v>
      </c>
      <c r="E123" s="10" t="s">
        <v>8</v>
      </c>
      <c r="F123" s="6" t="s">
        <v>13</v>
      </c>
      <c r="G123" s="8">
        <v>73.8</v>
      </c>
      <c r="H123" s="6"/>
    </row>
    <row r="124" spans="1:8">
      <c r="A124" s="5">
        <v>4320</v>
      </c>
      <c r="B124" s="6" t="str">
        <f>"吴仰仰"</f>
        <v>吴仰仰</v>
      </c>
      <c r="C124" s="6" t="str">
        <f t="shared" si="4"/>
        <v>女</v>
      </c>
      <c r="D124" s="6" t="str">
        <f>"202105022529"</f>
        <v>202105022529</v>
      </c>
      <c r="E124" s="10" t="s">
        <v>8</v>
      </c>
      <c r="F124" s="6" t="s">
        <v>13</v>
      </c>
      <c r="G124" s="8">
        <v>80.8</v>
      </c>
      <c r="H124" s="6"/>
    </row>
    <row r="125" spans="1:8">
      <c r="A125" s="5">
        <v>4314</v>
      </c>
      <c r="B125" s="6" t="str">
        <f>"江西"</f>
        <v>江西</v>
      </c>
      <c r="C125" s="6" t="str">
        <f t="shared" si="4"/>
        <v>女</v>
      </c>
      <c r="D125" s="6" t="str">
        <f>"202105022530"</f>
        <v>202105022530</v>
      </c>
      <c r="E125" s="10" t="s">
        <v>8</v>
      </c>
      <c r="F125" s="6" t="s">
        <v>13</v>
      </c>
      <c r="G125" s="8">
        <v>75.7</v>
      </c>
      <c r="H125" s="6"/>
    </row>
    <row r="126" spans="1:8">
      <c r="A126" s="5">
        <v>4285</v>
      </c>
      <c r="B126" s="6" t="str">
        <f>"刘飞剑"</f>
        <v>刘飞剑</v>
      </c>
      <c r="C126" s="6" t="str">
        <f t="shared" si="4"/>
        <v>女</v>
      </c>
      <c r="D126" s="6" t="str">
        <f>"202105022601"</f>
        <v>202105022601</v>
      </c>
      <c r="E126" s="10" t="s">
        <v>8</v>
      </c>
      <c r="F126" s="6" t="s">
        <v>13</v>
      </c>
      <c r="G126" s="8">
        <v>67.3</v>
      </c>
      <c r="H126" s="6"/>
    </row>
    <row r="127" spans="1:8">
      <c r="A127" s="5">
        <v>4294</v>
      </c>
      <c r="B127" s="6" t="str">
        <f>"李芮祺"</f>
        <v>李芮祺</v>
      </c>
      <c r="C127" s="6" t="str">
        <f t="shared" si="4"/>
        <v>女</v>
      </c>
      <c r="D127" s="6" t="str">
        <f>"202105022602"</f>
        <v>202105022602</v>
      </c>
      <c r="E127" s="10" t="s">
        <v>8</v>
      </c>
      <c r="F127" s="6" t="s">
        <v>13</v>
      </c>
      <c r="G127" s="8">
        <v>0</v>
      </c>
      <c r="H127" s="9">
        <v>1</v>
      </c>
    </row>
    <row r="128" spans="1:8">
      <c r="A128" s="5">
        <v>4284</v>
      </c>
      <c r="B128" s="6" t="str">
        <f>"刘英"</f>
        <v>刘英</v>
      </c>
      <c r="C128" s="6" t="str">
        <f t="shared" si="4"/>
        <v>女</v>
      </c>
      <c r="D128" s="6" t="str">
        <f>"202105022603"</f>
        <v>202105022603</v>
      </c>
      <c r="E128" s="10" t="s">
        <v>8</v>
      </c>
      <c r="F128" s="6" t="s">
        <v>13</v>
      </c>
      <c r="G128" s="8">
        <v>74.8</v>
      </c>
      <c r="H128" s="6"/>
    </row>
    <row r="129" spans="1:8">
      <c r="A129" s="5">
        <v>4325</v>
      </c>
      <c r="B129" s="6" t="str">
        <f>"周佳豪"</f>
        <v>周佳豪</v>
      </c>
      <c r="C129" s="6" t="str">
        <f>"男"</f>
        <v>男</v>
      </c>
      <c r="D129" s="6" t="str">
        <f>"202105022604"</f>
        <v>202105022604</v>
      </c>
      <c r="E129" s="10" t="s">
        <v>8</v>
      </c>
      <c r="F129" s="6" t="s">
        <v>13</v>
      </c>
      <c r="G129" s="8">
        <v>85.3</v>
      </c>
      <c r="H129" s="6"/>
    </row>
    <row r="130" spans="1:8">
      <c r="A130" s="5">
        <v>4292</v>
      </c>
      <c r="B130" s="6" t="str">
        <f>"陶微"</f>
        <v>陶微</v>
      </c>
      <c r="C130" s="6" t="str">
        <f t="shared" ref="C130:C161" si="5">"女"</f>
        <v>女</v>
      </c>
      <c r="D130" s="6" t="str">
        <f>"202105022605"</f>
        <v>202105022605</v>
      </c>
      <c r="E130" s="10" t="s">
        <v>8</v>
      </c>
      <c r="F130" s="6" t="s">
        <v>13</v>
      </c>
      <c r="G130" s="8">
        <v>72.099999999999994</v>
      </c>
      <c r="H130" s="6"/>
    </row>
    <row r="131" spans="1:8">
      <c r="A131" s="5">
        <v>4322</v>
      </c>
      <c r="B131" s="6" t="str">
        <f>"扈其梅"</f>
        <v>扈其梅</v>
      </c>
      <c r="C131" s="6" t="str">
        <f t="shared" si="5"/>
        <v>女</v>
      </c>
      <c r="D131" s="6" t="str">
        <f>"202105022606"</f>
        <v>202105022606</v>
      </c>
      <c r="E131" s="10" t="s">
        <v>8</v>
      </c>
      <c r="F131" s="6" t="s">
        <v>13</v>
      </c>
      <c r="G131" s="8">
        <v>77.849999999999994</v>
      </c>
      <c r="H131" s="6"/>
    </row>
    <row r="132" spans="1:8">
      <c r="A132" s="5">
        <v>4272</v>
      </c>
      <c r="B132" s="6" t="str">
        <f>"曾兰兰"</f>
        <v>曾兰兰</v>
      </c>
      <c r="C132" s="6" t="str">
        <f t="shared" si="5"/>
        <v>女</v>
      </c>
      <c r="D132" s="6" t="str">
        <f>"202105022607"</f>
        <v>202105022607</v>
      </c>
      <c r="E132" s="10" t="s">
        <v>8</v>
      </c>
      <c r="F132" s="6" t="s">
        <v>13</v>
      </c>
      <c r="G132" s="8">
        <v>73.95</v>
      </c>
      <c r="H132" s="6"/>
    </row>
    <row r="133" spans="1:8">
      <c r="A133" s="5">
        <v>4343</v>
      </c>
      <c r="B133" s="6" t="str">
        <f>"李妤"</f>
        <v>李妤</v>
      </c>
      <c r="C133" s="6" t="str">
        <f t="shared" si="5"/>
        <v>女</v>
      </c>
      <c r="D133" s="6" t="str">
        <f>"202106022608"</f>
        <v>202106022608</v>
      </c>
      <c r="E133" s="10" t="s">
        <v>8</v>
      </c>
      <c r="F133" s="6" t="s">
        <v>14</v>
      </c>
      <c r="G133" s="8">
        <v>80.650000000000006</v>
      </c>
      <c r="H133" s="6"/>
    </row>
    <row r="134" spans="1:8">
      <c r="A134" s="5">
        <v>4345</v>
      </c>
      <c r="B134" s="6" t="str">
        <f>"王香"</f>
        <v>王香</v>
      </c>
      <c r="C134" s="6" t="str">
        <f t="shared" si="5"/>
        <v>女</v>
      </c>
      <c r="D134" s="6" t="str">
        <f>"202106022609"</f>
        <v>202106022609</v>
      </c>
      <c r="E134" s="10" t="s">
        <v>8</v>
      </c>
      <c r="F134" s="6" t="s">
        <v>14</v>
      </c>
      <c r="G134" s="8">
        <v>76.5</v>
      </c>
      <c r="H134" s="6"/>
    </row>
    <row r="135" spans="1:8">
      <c r="A135" s="5">
        <v>4361</v>
      </c>
      <c r="B135" s="6" t="str">
        <f>"黄焱"</f>
        <v>黄焱</v>
      </c>
      <c r="C135" s="6" t="str">
        <f t="shared" si="5"/>
        <v>女</v>
      </c>
      <c r="D135" s="6" t="str">
        <f>"202106022610"</f>
        <v>202106022610</v>
      </c>
      <c r="E135" s="10" t="s">
        <v>8</v>
      </c>
      <c r="F135" s="6" t="s">
        <v>14</v>
      </c>
      <c r="G135" s="8">
        <v>74.099999999999994</v>
      </c>
      <c r="H135" s="6"/>
    </row>
    <row r="136" spans="1:8">
      <c r="A136" s="5">
        <v>4359</v>
      </c>
      <c r="B136" s="6" t="str">
        <f>"王岚"</f>
        <v>王岚</v>
      </c>
      <c r="C136" s="6" t="str">
        <f t="shared" si="5"/>
        <v>女</v>
      </c>
      <c r="D136" s="6" t="str">
        <f>"202106022611"</f>
        <v>202106022611</v>
      </c>
      <c r="E136" s="10" t="s">
        <v>8</v>
      </c>
      <c r="F136" s="6" t="s">
        <v>14</v>
      </c>
      <c r="G136" s="8">
        <v>62.2</v>
      </c>
      <c r="H136" s="6"/>
    </row>
    <row r="137" spans="1:8">
      <c r="A137" s="5">
        <v>4363</v>
      </c>
      <c r="B137" s="6" t="str">
        <f>"陈淑洁"</f>
        <v>陈淑洁</v>
      </c>
      <c r="C137" s="6" t="str">
        <f t="shared" si="5"/>
        <v>女</v>
      </c>
      <c r="D137" s="6" t="str">
        <f>"202106022612"</f>
        <v>202106022612</v>
      </c>
      <c r="E137" s="10" t="s">
        <v>8</v>
      </c>
      <c r="F137" s="6" t="s">
        <v>14</v>
      </c>
      <c r="G137" s="8">
        <v>61.5</v>
      </c>
      <c r="H137" s="6"/>
    </row>
    <row r="138" spans="1:8">
      <c r="A138" s="5">
        <v>4366</v>
      </c>
      <c r="B138" s="6" t="str">
        <f>"蒋妮均"</f>
        <v>蒋妮均</v>
      </c>
      <c r="C138" s="6" t="str">
        <f t="shared" si="5"/>
        <v>女</v>
      </c>
      <c r="D138" s="6" t="str">
        <f>"202106022613"</f>
        <v>202106022613</v>
      </c>
      <c r="E138" s="10" t="s">
        <v>8</v>
      </c>
      <c r="F138" s="6" t="s">
        <v>14</v>
      </c>
      <c r="G138" s="8">
        <v>73.400000000000006</v>
      </c>
      <c r="H138" s="6"/>
    </row>
    <row r="139" spans="1:8">
      <c r="A139" s="5">
        <v>4357</v>
      </c>
      <c r="B139" s="6" t="str">
        <f>"刘心仪"</f>
        <v>刘心仪</v>
      </c>
      <c r="C139" s="6" t="str">
        <f t="shared" si="5"/>
        <v>女</v>
      </c>
      <c r="D139" s="6" t="str">
        <f>"202106022614"</f>
        <v>202106022614</v>
      </c>
      <c r="E139" s="10" t="s">
        <v>8</v>
      </c>
      <c r="F139" s="6" t="s">
        <v>14</v>
      </c>
      <c r="G139" s="8">
        <v>75.2</v>
      </c>
      <c r="H139" s="6"/>
    </row>
    <row r="140" spans="1:8">
      <c r="A140" s="5">
        <v>4337</v>
      </c>
      <c r="B140" s="6" t="str">
        <f>"彭诚诚"</f>
        <v>彭诚诚</v>
      </c>
      <c r="C140" s="6" t="str">
        <f t="shared" si="5"/>
        <v>女</v>
      </c>
      <c r="D140" s="6" t="str">
        <f>"202106022615"</f>
        <v>202106022615</v>
      </c>
      <c r="E140" s="10" t="s">
        <v>8</v>
      </c>
      <c r="F140" s="6" t="s">
        <v>14</v>
      </c>
      <c r="G140" s="8">
        <v>70.7</v>
      </c>
      <c r="H140" s="6"/>
    </row>
    <row r="141" spans="1:8">
      <c r="A141" s="5">
        <v>4329</v>
      </c>
      <c r="B141" s="6" t="str">
        <f>"黄珂音"</f>
        <v>黄珂音</v>
      </c>
      <c r="C141" s="6" t="str">
        <f t="shared" si="5"/>
        <v>女</v>
      </c>
      <c r="D141" s="6" t="str">
        <f>"202106022616"</f>
        <v>202106022616</v>
      </c>
      <c r="E141" s="10" t="s">
        <v>8</v>
      </c>
      <c r="F141" s="6" t="s">
        <v>14</v>
      </c>
      <c r="G141" s="8">
        <v>0</v>
      </c>
      <c r="H141" s="9">
        <v>1</v>
      </c>
    </row>
    <row r="142" spans="1:8">
      <c r="A142" s="5">
        <v>4371</v>
      </c>
      <c r="B142" s="6" t="str">
        <f>"李孟夏"</f>
        <v>李孟夏</v>
      </c>
      <c r="C142" s="6" t="str">
        <f t="shared" si="5"/>
        <v>女</v>
      </c>
      <c r="D142" s="6" t="str">
        <f>"202106022617"</f>
        <v>202106022617</v>
      </c>
      <c r="E142" s="10" t="s">
        <v>8</v>
      </c>
      <c r="F142" s="6" t="s">
        <v>14</v>
      </c>
      <c r="G142" s="8">
        <v>57.65</v>
      </c>
      <c r="H142" s="6"/>
    </row>
    <row r="143" spans="1:8">
      <c r="A143" s="5">
        <v>4342</v>
      </c>
      <c r="B143" s="6" t="str">
        <f>"戴雅丽"</f>
        <v>戴雅丽</v>
      </c>
      <c r="C143" s="6" t="str">
        <f t="shared" si="5"/>
        <v>女</v>
      </c>
      <c r="D143" s="6" t="str">
        <f>"202106022618"</f>
        <v>202106022618</v>
      </c>
      <c r="E143" s="10" t="s">
        <v>8</v>
      </c>
      <c r="F143" s="6" t="s">
        <v>14</v>
      </c>
      <c r="G143" s="8">
        <v>62.25</v>
      </c>
      <c r="H143" s="6"/>
    </row>
    <row r="144" spans="1:8">
      <c r="A144" s="5">
        <v>4341</v>
      </c>
      <c r="B144" s="6" t="str">
        <f>"罗怡璇"</f>
        <v>罗怡璇</v>
      </c>
      <c r="C144" s="6" t="str">
        <f t="shared" si="5"/>
        <v>女</v>
      </c>
      <c r="D144" s="6" t="str">
        <f>"202106022619"</f>
        <v>202106022619</v>
      </c>
      <c r="E144" s="10" t="s">
        <v>8</v>
      </c>
      <c r="F144" s="6" t="s">
        <v>14</v>
      </c>
      <c r="G144" s="8">
        <v>74.650000000000006</v>
      </c>
      <c r="H144" s="6"/>
    </row>
    <row r="145" spans="1:8">
      <c r="A145" s="5">
        <v>4331</v>
      </c>
      <c r="B145" s="6" t="str">
        <f>"莫凌溪"</f>
        <v>莫凌溪</v>
      </c>
      <c r="C145" s="6" t="str">
        <f t="shared" si="5"/>
        <v>女</v>
      </c>
      <c r="D145" s="6" t="str">
        <f>"202106022620"</f>
        <v>202106022620</v>
      </c>
      <c r="E145" s="10" t="s">
        <v>8</v>
      </c>
      <c r="F145" s="6" t="s">
        <v>14</v>
      </c>
      <c r="G145" s="8">
        <v>69.8</v>
      </c>
      <c r="H145" s="6"/>
    </row>
    <row r="146" spans="1:8">
      <c r="A146" s="5">
        <v>4367</v>
      </c>
      <c r="B146" s="6" t="str">
        <f>"张瑛"</f>
        <v>张瑛</v>
      </c>
      <c r="C146" s="6" t="str">
        <f t="shared" si="5"/>
        <v>女</v>
      </c>
      <c r="D146" s="6" t="str">
        <f>"202106022621"</f>
        <v>202106022621</v>
      </c>
      <c r="E146" s="10" t="s">
        <v>8</v>
      </c>
      <c r="F146" s="6" t="s">
        <v>14</v>
      </c>
      <c r="G146" s="8">
        <v>78.25</v>
      </c>
      <c r="H146" s="6"/>
    </row>
    <row r="147" spans="1:8">
      <c r="A147" s="5">
        <v>4349</v>
      </c>
      <c r="B147" s="6" t="str">
        <f>"唐鸿景"</f>
        <v>唐鸿景</v>
      </c>
      <c r="C147" s="6" t="str">
        <f t="shared" si="5"/>
        <v>女</v>
      </c>
      <c r="D147" s="6" t="str">
        <f>"202106022622"</f>
        <v>202106022622</v>
      </c>
      <c r="E147" s="10" t="s">
        <v>8</v>
      </c>
      <c r="F147" s="6" t="s">
        <v>14</v>
      </c>
      <c r="G147" s="8">
        <v>88.1</v>
      </c>
      <c r="H147" s="6"/>
    </row>
    <row r="148" spans="1:8">
      <c r="A148" s="5">
        <v>4338</v>
      </c>
      <c r="B148" s="6" t="str">
        <f>"刘旭"</f>
        <v>刘旭</v>
      </c>
      <c r="C148" s="6" t="str">
        <f t="shared" si="5"/>
        <v>女</v>
      </c>
      <c r="D148" s="6" t="str">
        <f>"202106022623"</f>
        <v>202106022623</v>
      </c>
      <c r="E148" s="10" t="s">
        <v>8</v>
      </c>
      <c r="F148" s="6" t="s">
        <v>14</v>
      </c>
      <c r="G148" s="8">
        <v>58</v>
      </c>
      <c r="H148" s="6"/>
    </row>
    <row r="149" spans="1:8">
      <c r="A149" s="5">
        <v>4356</v>
      </c>
      <c r="B149" s="6" t="str">
        <f>"罗芊芊"</f>
        <v>罗芊芊</v>
      </c>
      <c r="C149" s="6" t="str">
        <f t="shared" si="5"/>
        <v>女</v>
      </c>
      <c r="D149" s="6" t="str">
        <f>"202106022624"</f>
        <v>202106022624</v>
      </c>
      <c r="E149" s="10" t="s">
        <v>8</v>
      </c>
      <c r="F149" s="6" t="s">
        <v>14</v>
      </c>
      <c r="G149" s="8">
        <v>67.25</v>
      </c>
      <c r="H149" s="6"/>
    </row>
    <row r="150" spans="1:8">
      <c r="A150" s="5">
        <v>4352</v>
      </c>
      <c r="B150" s="6" t="str">
        <f>"刘慧"</f>
        <v>刘慧</v>
      </c>
      <c r="C150" s="6" t="str">
        <f t="shared" si="5"/>
        <v>女</v>
      </c>
      <c r="D150" s="6" t="str">
        <f>"202106022625"</f>
        <v>202106022625</v>
      </c>
      <c r="E150" s="10" t="s">
        <v>8</v>
      </c>
      <c r="F150" s="6" t="s">
        <v>14</v>
      </c>
      <c r="G150" s="8">
        <v>81.75</v>
      </c>
      <c r="H150" s="6"/>
    </row>
    <row r="151" spans="1:8">
      <c r="A151" s="5">
        <v>4328</v>
      </c>
      <c r="B151" s="6" t="str">
        <f>"曾米兰"</f>
        <v>曾米兰</v>
      </c>
      <c r="C151" s="6" t="str">
        <f t="shared" si="5"/>
        <v>女</v>
      </c>
      <c r="D151" s="6" t="str">
        <f>"202106022626"</f>
        <v>202106022626</v>
      </c>
      <c r="E151" s="10" t="s">
        <v>8</v>
      </c>
      <c r="F151" s="6" t="s">
        <v>14</v>
      </c>
      <c r="G151" s="8">
        <v>0</v>
      </c>
      <c r="H151" s="9">
        <v>1</v>
      </c>
    </row>
    <row r="152" spans="1:8">
      <c r="A152" s="5">
        <v>4373</v>
      </c>
      <c r="B152" s="6" t="str">
        <f>"王玲"</f>
        <v>王玲</v>
      </c>
      <c r="C152" s="6" t="str">
        <f t="shared" si="5"/>
        <v>女</v>
      </c>
      <c r="D152" s="6" t="str">
        <f>"202106022627"</f>
        <v>202106022627</v>
      </c>
      <c r="E152" s="10" t="s">
        <v>8</v>
      </c>
      <c r="F152" s="6" t="s">
        <v>14</v>
      </c>
      <c r="G152" s="8">
        <v>65.400000000000006</v>
      </c>
      <c r="H152" s="6"/>
    </row>
    <row r="153" spans="1:8">
      <c r="A153" s="5">
        <v>4364</v>
      </c>
      <c r="B153" s="6" t="str">
        <f>"姚瑾"</f>
        <v>姚瑾</v>
      </c>
      <c r="C153" s="6" t="str">
        <f t="shared" si="5"/>
        <v>女</v>
      </c>
      <c r="D153" s="6" t="str">
        <f>"202106022628"</f>
        <v>202106022628</v>
      </c>
      <c r="E153" s="10" t="s">
        <v>8</v>
      </c>
      <c r="F153" s="6" t="s">
        <v>14</v>
      </c>
      <c r="G153" s="8">
        <v>71.150000000000006</v>
      </c>
      <c r="H153" s="6"/>
    </row>
    <row r="154" spans="1:8">
      <c r="A154" s="5">
        <v>4358</v>
      </c>
      <c r="B154" s="6" t="str">
        <f>"朱彦容"</f>
        <v>朱彦容</v>
      </c>
      <c r="C154" s="6" t="str">
        <f t="shared" si="5"/>
        <v>女</v>
      </c>
      <c r="D154" s="6" t="str">
        <f>"202106022629"</f>
        <v>202106022629</v>
      </c>
      <c r="E154" s="10" t="s">
        <v>8</v>
      </c>
      <c r="F154" s="6" t="s">
        <v>14</v>
      </c>
      <c r="G154" s="8">
        <v>68.75</v>
      </c>
      <c r="H154" s="6"/>
    </row>
    <row r="155" spans="1:8">
      <c r="A155" s="5">
        <v>4351</v>
      </c>
      <c r="B155" s="6" t="str">
        <f>"范年花"</f>
        <v>范年花</v>
      </c>
      <c r="C155" s="6" t="str">
        <f t="shared" si="5"/>
        <v>女</v>
      </c>
      <c r="D155" s="6" t="str">
        <f>"202106022630"</f>
        <v>202106022630</v>
      </c>
      <c r="E155" s="10" t="s">
        <v>8</v>
      </c>
      <c r="F155" s="6" t="s">
        <v>14</v>
      </c>
      <c r="G155" s="8">
        <v>77.599999999999994</v>
      </c>
      <c r="H155" s="6"/>
    </row>
    <row r="156" spans="1:8">
      <c r="A156" s="5">
        <v>4369</v>
      </c>
      <c r="B156" s="6" t="str">
        <f>"谢华丽"</f>
        <v>谢华丽</v>
      </c>
      <c r="C156" s="6" t="str">
        <f t="shared" si="5"/>
        <v>女</v>
      </c>
      <c r="D156" s="6" t="str">
        <f>"202106022701"</f>
        <v>202106022701</v>
      </c>
      <c r="E156" s="10" t="s">
        <v>8</v>
      </c>
      <c r="F156" s="6" t="s">
        <v>14</v>
      </c>
      <c r="G156" s="8">
        <v>70</v>
      </c>
      <c r="H156" s="6"/>
    </row>
    <row r="157" spans="1:8">
      <c r="A157" s="5">
        <v>4346</v>
      </c>
      <c r="B157" s="6" t="str">
        <f>"张捷"</f>
        <v>张捷</v>
      </c>
      <c r="C157" s="6" t="str">
        <f t="shared" si="5"/>
        <v>女</v>
      </c>
      <c r="D157" s="6" t="str">
        <f>"202106022702"</f>
        <v>202106022702</v>
      </c>
      <c r="E157" s="10" t="s">
        <v>8</v>
      </c>
      <c r="F157" s="6" t="s">
        <v>14</v>
      </c>
      <c r="G157" s="8">
        <v>68.150000000000006</v>
      </c>
      <c r="H157" s="6"/>
    </row>
    <row r="158" spans="1:8">
      <c r="A158" s="5">
        <v>4326</v>
      </c>
      <c r="B158" s="6" t="str">
        <f>"罗聪俐"</f>
        <v>罗聪俐</v>
      </c>
      <c r="C158" s="6" t="str">
        <f t="shared" si="5"/>
        <v>女</v>
      </c>
      <c r="D158" s="6" t="str">
        <f>"202106022703"</f>
        <v>202106022703</v>
      </c>
      <c r="E158" s="10" t="s">
        <v>8</v>
      </c>
      <c r="F158" s="6" t="s">
        <v>14</v>
      </c>
      <c r="G158" s="8">
        <v>0</v>
      </c>
      <c r="H158" s="9">
        <v>1</v>
      </c>
    </row>
    <row r="159" spans="1:8">
      <c r="A159" s="5">
        <v>4347</v>
      </c>
      <c r="B159" s="6" t="str">
        <f>"刘佳钰"</f>
        <v>刘佳钰</v>
      </c>
      <c r="C159" s="6" t="str">
        <f t="shared" si="5"/>
        <v>女</v>
      </c>
      <c r="D159" s="6" t="str">
        <f>"202106022704"</f>
        <v>202106022704</v>
      </c>
      <c r="E159" s="10" t="s">
        <v>8</v>
      </c>
      <c r="F159" s="6" t="s">
        <v>14</v>
      </c>
      <c r="G159" s="8">
        <v>65.650000000000006</v>
      </c>
      <c r="H159" s="6"/>
    </row>
    <row r="160" spans="1:8">
      <c r="A160" s="5">
        <v>4362</v>
      </c>
      <c r="B160" s="6" t="str">
        <f>"刘紫晴"</f>
        <v>刘紫晴</v>
      </c>
      <c r="C160" s="6" t="str">
        <f t="shared" si="5"/>
        <v>女</v>
      </c>
      <c r="D160" s="6" t="str">
        <f>"202106022705"</f>
        <v>202106022705</v>
      </c>
      <c r="E160" s="10" t="s">
        <v>8</v>
      </c>
      <c r="F160" s="6" t="s">
        <v>14</v>
      </c>
      <c r="G160" s="8">
        <v>67.8</v>
      </c>
      <c r="H160" s="6"/>
    </row>
    <row r="161" spans="1:8">
      <c r="A161" s="5">
        <v>4330</v>
      </c>
      <c r="B161" s="6" t="str">
        <f>"马彬彬"</f>
        <v>马彬彬</v>
      </c>
      <c r="C161" s="6" t="str">
        <f t="shared" si="5"/>
        <v>女</v>
      </c>
      <c r="D161" s="6" t="str">
        <f>"202106022706"</f>
        <v>202106022706</v>
      </c>
      <c r="E161" s="10" t="s">
        <v>8</v>
      </c>
      <c r="F161" s="6" t="s">
        <v>14</v>
      </c>
      <c r="G161" s="8">
        <v>61.25</v>
      </c>
      <c r="H161" s="6"/>
    </row>
    <row r="162" spans="1:8">
      <c r="A162" s="5">
        <v>4327</v>
      </c>
      <c r="B162" s="6" t="str">
        <f>"卢钰林"</f>
        <v>卢钰林</v>
      </c>
      <c r="C162" s="6" t="str">
        <f t="shared" ref="C162:C180" si="6">"女"</f>
        <v>女</v>
      </c>
      <c r="D162" s="6" t="str">
        <f>"202106022707"</f>
        <v>202106022707</v>
      </c>
      <c r="E162" s="10" t="s">
        <v>8</v>
      </c>
      <c r="F162" s="6" t="s">
        <v>14</v>
      </c>
      <c r="G162" s="8">
        <v>0</v>
      </c>
      <c r="H162" s="9">
        <v>1</v>
      </c>
    </row>
    <row r="163" spans="1:8">
      <c r="A163" s="5">
        <v>4372</v>
      </c>
      <c r="B163" s="6" t="str">
        <f>"姜飘"</f>
        <v>姜飘</v>
      </c>
      <c r="C163" s="6" t="str">
        <f t="shared" si="6"/>
        <v>女</v>
      </c>
      <c r="D163" s="6" t="str">
        <f>"202106022708"</f>
        <v>202106022708</v>
      </c>
      <c r="E163" s="10" t="s">
        <v>8</v>
      </c>
      <c r="F163" s="6" t="s">
        <v>14</v>
      </c>
      <c r="G163" s="8">
        <v>78.599999999999994</v>
      </c>
      <c r="H163" s="6"/>
    </row>
    <row r="164" spans="1:8">
      <c r="A164" s="5">
        <v>4355</v>
      </c>
      <c r="B164" s="6" t="str">
        <f>"夏至容"</f>
        <v>夏至容</v>
      </c>
      <c r="C164" s="6" t="str">
        <f t="shared" si="6"/>
        <v>女</v>
      </c>
      <c r="D164" s="6" t="str">
        <f>"202106022709"</f>
        <v>202106022709</v>
      </c>
      <c r="E164" s="10" t="s">
        <v>8</v>
      </c>
      <c r="F164" s="6" t="s">
        <v>14</v>
      </c>
      <c r="G164" s="8">
        <v>68.150000000000006</v>
      </c>
      <c r="H164" s="6"/>
    </row>
    <row r="165" spans="1:8">
      <c r="A165" s="5">
        <v>4339</v>
      </c>
      <c r="B165" s="6" t="str">
        <f>"孙萍秀"</f>
        <v>孙萍秀</v>
      </c>
      <c r="C165" s="6" t="str">
        <f t="shared" si="6"/>
        <v>女</v>
      </c>
      <c r="D165" s="6" t="str">
        <f>"202106022710"</f>
        <v>202106022710</v>
      </c>
      <c r="E165" s="10" t="s">
        <v>8</v>
      </c>
      <c r="F165" s="6" t="s">
        <v>14</v>
      </c>
      <c r="G165" s="8">
        <v>80.75</v>
      </c>
      <c r="H165" s="6"/>
    </row>
    <row r="166" spans="1:8">
      <c r="A166" s="5">
        <v>4368</v>
      </c>
      <c r="B166" s="6" t="str">
        <f>"艾春秋"</f>
        <v>艾春秋</v>
      </c>
      <c r="C166" s="6" t="str">
        <f t="shared" si="6"/>
        <v>女</v>
      </c>
      <c r="D166" s="6" t="str">
        <f>"202106022711"</f>
        <v>202106022711</v>
      </c>
      <c r="E166" s="10" t="s">
        <v>8</v>
      </c>
      <c r="F166" s="6" t="s">
        <v>14</v>
      </c>
      <c r="G166" s="8">
        <v>73.349999999999994</v>
      </c>
      <c r="H166" s="6"/>
    </row>
    <row r="167" spans="1:8">
      <c r="A167" s="5">
        <v>4353</v>
      </c>
      <c r="B167" s="6" t="str">
        <f>"周颖"</f>
        <v>周颖</v>
      </c>
      <c r="C167" s="6" t="str">
        <f t="shared" si="6"/>
        <v>女</v>
      </c>
      <c r="D167" s="6" t="str">
        <f>"202106022712"</f>
        <v>202106022712</v>
      </c>
      <c r="E167" s="10" t="s">
        <v>8</v>
      </c>
      <c r="F167" s="6" t="s">
        <v>14</v>
      </c>
      <c r="G167" s="8">
        <v>69.45</v>
      </c>
      <c r="H167" s="6"/>
    </row>
    <row r="168" spans="1:8">
      <c r="A168" s="5">
        <v>4365</v>
      </c>
      <c r="B168" s="6" t="str">
        <f>"钱先艳"</f>
        <v>钱先艳</v>
      </c>
      <c r="C168" s="6" t="str">
        <f t="shared" si="6"/>
        <v>女</v>
      </c>
      <c r="D168" s="6" t="str">
        <f>"202106022713"</f>
        <v>202106022713</v>
      </c>
      <c r="E168" s="10" t="s">
        <v>8</v>
      </c>
      <c r="F168" s="6" t="s">
        <v>14</v>
      </c>
      <c r="G168" s="8">
        <v>62.5</v>
      </c>
      <c r="H168" s="6"/>
    </row>
    <row r="169" spans="1:8">
      <c r="A169" s="5">
        <v>4360</v>
      </c>
      <c r="B169" s="6" t="str">
        <f>"李昌珍"</f>
        <v>李昌珍</v>
      </c>
      <c r="C169" s="6" t="str">
        <f t="shared" si="6"/>
        <v>女</v>
      </c>
      <c r="D169" s="6" t="str">
        <f>"202106022714"</f>
        <v>202106022714</v>
      </c>
      <c r="E169" s="10" t="s">
        <v>8</v>
      </c>
      <c r="F169" s="6" t="s">
        <v>14</v>
      </c>
      <c r="G169" s="8">
        <v>54.4</v>
      </c>
      <c r="H169" s="6"/>
    </row>
    <row r="170" spans="1:8">
      <c r="A170" s="5">
        <v>4350</v>
      </c>
      <c r="B170" s="6" t="str">
        <f>"刘素娟"</f>
        <v>刘素娟</v>
      </c>
      <c r="C170" s="6" t="str">
        <f t="shared" si="6"/>
        <v>女</v>
      </c>
      <c r="D170" s="6" t="str">
        <f>"202106022715"</f>
        <v>202106022715</v>
      </c>
      <c r="E170" s="10" t="s">
        <v>8</v>
      </c>
      <c r="F170" s="6" t="s">
        <v>14</v>
      </c>
      <c r="G170" s="8">
        <v>0</v>
      </c>
      <c r="H170" s="9">
        <v>1</v>
      </c>
    </row>
    <row r="171" spans="1:8">
      <c r="A171" s="5">
        <v>4332</v>
      </c>
      <c r="B171" s="6" t="str">
        <f>"李薇薇"</f>
        <v>李薇薇</v>
      </c>
      <c r="C171" s="6" t="str">
        <f t="shared" si="6"/>
        <v>女</v>
      </c>
      <c r="D171" s="6" t="str">
        <f>"202106022716"</f>
        <v>202106022716</v>
      </c>
      <c r="E171" s="10" t="s">
        <v>8</v>
      </c>
      <c r="F171" s="6" t="s">
        <v>14</v>
      </c>
      <c r="G171" s="8">
        <v>62.7</v>
      </c>
      <c r="H171" s="6"/>
    </row>
    <row r="172" spans="1:8">
      <c r="A172" s="5">
        <v>4370</v>
      </c>
      <c r="B172" s="6" t="str">
        <f>"彭小娟"</f>
        <v>彭小娟</v>
      </c>
      <c r="C172" s="6" t="str">
        <f t="shared" si="6"/>
        <v>女</v>
      </c>
      <c r="D172" s="6" t="str">
        <f>"202106022717"</f>
        <v>202106022717</v>
      </c>
      <c r="E172" s="10" t="s">
        <v>8</v>
      </c>
      <c r="F172" s="6" t="s">
        <v>14</v>
      </c>
      <c r="G172" s="8">
        <v>0</v>
      </c>
      <c r="H172" s="9">
        <v>1</v>
      </c>
    </row>
    <row r="173" spans="1:8">
      <c r="A173" s="5">
        <v>4344</v>
      </c>
      <c r="B173" s="6" t="str">
        <f>"邓佳玲"</f>
        <v>邓佳玲</v>
      </c>
      <c r="C173" s="6" t="str">
        <f t="shared" si="6"/>
        <v>女</v>
      </c>
      <c r="D173" s="6" t="str">
        <f>"202106022718"</f>
        <v>202106022718</v>
      </c>
      <c r="E173" s="10" t="s">
        <v>8</v>
      </c>
      <c r="F173" s="6" t="s">
        <v>14</v>
      </c>
      <c r="G173" s="8">
        <v>73.25</v>
      </c>
      <c r="H173" s="6"/>
    </row>
    <row r="174" spans="1:8">
      <c r="A174" s="5">
        <v>4333</v>
      </c>
      <c r="B174" s="6" t="str">
        <f>"雷银知"</f>
        <v>雷银知</v>
      </c>
      <c r="C174" s="6" t="str">
        <f t="shared" si="6"/>
        <v>女</v>
      </c>
      <c r="D174" s="6" t="str">
        <f>"202106022719"</f>
        <v>202106022719</v>
      </c>
      <c r="E174" s="10" t="s">
        <v>8</v>
      </c>
      <c r="F174" s="6" t="s">
        <v>14</v>
      </c>
      <c r="G174" s="8">
        <v>68.599999999999994</v>
      </c>
      <c r="H174" s="6"/>
    </row>
    <row r="175" spans="1:8">
      <c r="A175" s="5">
        <v>4335</v>
      </c>
      <c r="B175" s="6" t="str">
        <f>"刘璇"</f>
        <v>刘璇</v>
      </c>
      <c r="C175" s="6" t="str">
        <f t="shared" si="6"/>
        <v>女</v>
      </c>
      <c r="D175" s="6" t="str">
        <f>"202106022720"</f>
        <v>202106022720</v>
      </c>
      <c r="E175" s="10" t="s">
        <v>8</v>
      </c>
      <c r="F175" s="6" t="s">
        <v>14</v>
      </c>
      <c r="G175" s="8">
        <v>72.650000000000006</v>
      </c>
      <c r="H175" s="6"/>
    </row>
    <row r="176" spans="1:8">
      <c r="A176" s="5">
        <v>4348</v>
      </c>
      <c r="B176" s="6" t="str">
        <f>"王秋"</f>
        <v>王秋</v>
      </c>
      <c r="C176" s="6" t="str">
        <f t="shared" si="6"/>
        <v>女</v>
      </c>
      <c r="D176" s="6" t="str">
        <f>"202106022721"</f>
        <v>202106022721</v>
      </c>
      <c r="E176" s="10" t="s">
        <v>8</v>
      </c>
      <c r="F176" s="6" t="s">
        <v>14</v>
      </c>
      <c r="G176" s="8">
        <v>81.400000000000006</v>
      </c>
      <c r="H176" s="6"/>
    </row>
    <row r="177" spans="1:8">
      <c r="A177" s="5">
        <v>4334</v>
      </c>
      <c r="B177" s="6" t="str">
        <f>"曾旭"</f>
        <v>曾旭</v>
      </c>
      <c r="C177" s="6" t="str">
        <f t="shared" si="6"/>
        <v>女</v>
      </c>
      <c r="D177" s="6" t="str">
        <f>"202106022722"</f>
        <v>202106022722</v>
      </c>
      <c r="E177" s="10" t="s">
        <v>8</v>
      </c>
      <c r="F177" s="6" t="s">
        <v>14</v>
      </c>
      <c r="G177" s="8">
        <v>73.599999999999994</v>
      </c>
      <c r="H177" s="6"/>
    </row>
    <row r="178" spans="1:8">
      <c r="A178" s="5">
        <v>4340</v>
      </c>
      <c r="B178" s="6" t="str">
        <f>"杨辣红"</f>
        <v>杨辣红</v>
      </c>
      <c r="C178" s="6" t="str">
        <f t="shared" si="6"/>
        <v>女</v>
      </c>
      <c r="D178" s="6" t="str">
        <f>"202106022723"</f>
        <v>202106022723</v>
      </c>
      <c r="E178" s="10" t="s">
        <v>8</v>
      </c>
      <c r="F178" s="6" t="s">
        <v>14</v>
      </c>
      <c r="G178" s="8">
        <v>0</v>
      </c>
      <c r="H178" s="9">
        <v>1</v>
      </c>
    </row>
    <row r="179" spans="1:8">
      <c r="A179" s="5">
        <v>4354</v>
      </c>
      <c r="B179" s="6" t="str">
        <f>"邓媛"</f>
        <v>邓媛</v>
      </c>
      <c r="C179" s="6" t="str">
        <f t="shared" si="6"/>
        <v>女</v>
      </c>
      <c r="D179" s="6" t="str">
        <f>"202106022724"</f>
        <v>202106022724</v>
      </c>
      <c r="E179" s="10" t="s">
        <v>8</v>
      </c>
      <c r="F179" s="6" t="s">
        <v>14</v>
      </c>
      <c r="G179" s="8">
        <v>72</v>
      </c>
      <c r="H179" s="6"/>
    </row>
    <row r="180" spans="1:8">
      <c r="A180" s="5">
        <v>4336</v>
      </c>
      <c r="B180" s="6" t="str">
        <f>"张也弛"</f>
        <v>张也弛</v>
      </c>
      <c r="C180" s="6" t="str">
        <f t="shared" si="6"/>
        <v>女</v>
      </c>
      <c r="D180" s="6" t="str">
        <f>"202106022725"</f>
        <v>202106022725</v>
      </c>
      <c r="E180" s="10" t="s">
        <v>8</v>
      </c>
      <c r="F180" s="6" t="s">
        <v>14</v>
      </c>
      <c r="G180" s="8">
        <v>76.05</v>
      </c>
      <c r="H180" s="6"/>
    </row>
    <row r="181" spans="1:8">
      <c r="A181" s="5">
        <v>4386</v>
      </c>
      <c r="B181" s="6" t="str">
        <f>"黄志扬"</f>
        <v>黄志扬</v>
      </c>
      <c r="C181" s="6" t="str">
        <f>"男"</f>
        <v>男</v>
      </c>
      <c r="D181" s="6" t="str">
        <f>"202107022801"</f>
        <v>202107022801</v>
      </c>
      <c r="E181" s="10" t="s">
        <v>8</v>
      </c>
      <c r="F181" s="6" t="s">
        <v>15</v>
      </c>
      <c r="G181" s="8">
        <v>72.7</v>
      </c>
      <c r="H181" s="6"/>
    </row>
    <row r="182" spans="1:8">
      <c r="A182" s="5">
        <v>4391</v>
      </c>
      <c r="B182" s="6" t="str">
        <f>"唐蒸"</f>
        <v>唐蒸</v>
      </c>
      <c r="C182" s="6" t="str">
        <f>"男"</f>
        <v>男</v>
      </c>
      <c r="D182" s="6" t="str">
        <f>"202107022802"</f>
        <v>202107022802</v>
      </c>
      <c r="E182" s="10" t="s">
        <v>8</v>
      </c>
      <c r="F182" s="6" t="s">
        <v>15</v>
      </c>
      <c r="G182" s="8">
        <v>83</v>
      </c>
      <c r="H182" s="6"/>
    </row>
    <row r="183" spans="1:8">
      <c r="A183" s="5">
        <v>4384</v>
      </c>
      <c r="B183" s="6" t="str">
        <f>"王武南"</f>
        <v>王武南</v>
      </c>
      <c r="C183" s="6" t="str">
        <f>"男"</f>
        <v>男</v>
      </c>
      <c r="D183" s="6" t="str">
        <f>"202107022803"</f>
        <v>202107022803</v>
      </c>
      <c r="E183" s="10" t="s">
        <v>8</v>
      </c>
      <c r="F183" s="6" t="s">
        <v>15</v>
      </c>
      <c r="G183" s="8">
        <v>0</v>
      </c>
      <c r="H183" s="9">
        <v>1</v>
      </c>
    </row>
    <row r="184" spans="1:8">
      <c r="A184" s="5">
        <v>4392</v>
      </c>
      <c r="B184" s="6" t="str">
        <f>"李霞"</f>
        <v>李霞</v>
      </c>
      <c r="C184" s="6" t="str">
        <f t="shared" ref="C184:C189" si="7">"女"</f>
        <v>女</v>
      </c>
      <c r="D184" s="6" t="str">
        <f>"202107022804"</f>
        <v>202107022804</v>
      </c>
      <c r="E184" s="10" t="s">
        <v>8</v>
      </c>
      <c r="F184" s="6" t="s">
        <v>15</v>
      </c>
      <c r="G184" s="8">
        <v>87.9</v>
      </c>
      <c r="H184" s="6"/>
    </row>
    <row r="185" spans="1:8">
      <c r="A185" s="5">
        <v>4382</v>
      </c>
      <c r="B185" s="6" t="str">
        <f>"蒋梅"</f>
        <v>蒋梅</v>
      </c>
      <c r="C185" s="6" t="str">
        <f t="shared" si="7"/>
        <v>女</v>
      </c>
      <c r="D185" s="6" t="str">
        <f>"202107022805"</f>
        <v>202107022805</v>
      </c>
      <c r="E185" s="10" t="s">
        <v>8</v>
      </c>
      <c r="F185" s="6" t="s">
        <v>15</v>
      </c>
      <c r="G185" s="8">
        <v>81.099999999999994</v>
      </c>
      <c r="H185" s="6"/>
    </row>
    <row r="186" spans="1:8">
      <c r="A186" s="5">
        <v>4388</v>
      </c>
      <c r="B186" s="6" t="str">
        <f>"李林重"</f>
        <v>李林重</v>
      </c>
      <c r="C186" s="6" t="str">
        <f t="shared" si="7"/>
        <v>女</v>
      </c>
      <c r="D186" s="6" t="str">
        <f>"202107022806"</f>
        <v>202107022806</v>
      </c>
      <c r="E186" s="10" t="s">
        <v>8</v>
      </c>
      <c r="F186" s="6" t="s">
        <v>15</v>
      </c>
      <c r="G186" s="8">
        <v>70</v>
      </c>
      <c r="H186" s="6"/>
    </row>
    <row r="187" spans="1:8">
      <c r="A187" s="5">
        <v>4376</v>
      </c>
      <c r="B187" s="6" t="str">
        <f>"曾利"</f>
        <v>曾利</v>
      </c>
      <c r="C187" s="6" t="str">
        <f t="shared" si="7"/>
        <v>女</v>
      </c>
      <c r="D187" s="6" t="str">
        <f>"202107022807"</f>
        <v>202107022807</v>
      </c>
      <c r="E187" s="10" t="s">
        <v>8</v>
      </c>
      <c r="F187" s="6" t="s">
        <v>15</v>
      </c>
      <c r="G187" s="8">
        <v>78.55</v>
      </c>
      <c r="H187" s="6"/>
    </row>
    <row r="188" spans="1:8">
      <c r="A188" s="5">
        <v>4375</v>
      </c>
      <c r="B188" s="6" t="str">
        <f>"曾婷婷"</f>
        <v>曾婷婷</v>
      </c>
      <c r="C188" s="6" t="str">
        <f t="shared" si="7"/>
        <v>女</v>
      </c>
      <c r="D188" s="6" t="str">
        <f>"202107022808"</f>
        <v>202107022808</v>
      </c>
      <c r="E188" s="10" t="s">
        <v>8</v>
      </c>
      <c r="F188" s="6" t="s">
        <v>15</v>
      </c>
      <c r="G188" s="8">
        <v>86.7</v>
      </c>
      <c r="H188" s="6"/>
    </row>
    <row r="189" spans="1:8">
      <c r="A189" s="5">
        <v>4389</v>
      </c>
      <c r="B189" s="6" t="str">
        <f>"戴珍"</f>
        <v>戴珍</v>
      </c>
      <c r="C189" s="6" t="str">
        <f t="shared" si="7"/>
        <v>女</v>
      </c>
      <c r="D189" s="6" t="str">
        <f>"202107022809"</f>
        <v>202107022809</v>
      </c>
      <c r="E189" s="10" t="s">
        <v>8</v>
      </c>
      <c r="F189" s="6" t="s">
        <v>15</v>
      </c>
      <c r="G189" s="8">
        <v>84.5</v>
      </c>
      <c r="H189" s="6"/>
    </row>
    <row r="190" spans="1:8">
      <c r="A190" s="5">
        <v>4385</v>
      </c>
      <c r="B190" s="6" t="str">
        <f>"刘乾"</f>
        <v>刘乾</v>
      </c>
      <c r="C190" s="6" t="str">
        <f>"男"</f>
        <v>男</v>
      </c>
      <c r="D190" s="6" t="str">
        <f>"202107022810"</f>
        <v>202107022810</v>
      </c>
      <c r="E190" s="10" t="s">
        <v>8</v>
      </c>
      <c r="F190" s="6" t="s">
        <v>15</v>
      </c>
      <c r="G190" s="8">
        <v>86.65</v>
      </c>
      <c r="H190" s="6"/>
    </row>
    <row r="191" spans="1:8">
      <c r="A191" s="5">
        <v>4377</v>
      </c>
      <c r="B191" s="6" t="str">
        <f>"孙雄辉"</f>
        <v>孙雄辉</v>
      </c>
      <c r="C191" s="6" t="str">
        <f>"男"</f>
        <v>男</v>
      </c>
      <c r="D191" s="6" t="str">
        <f>"202107022811"</f>
        <v>202107022811</v>
      </c>
      <c r="E191" s="10" t="s">
        <v>8</v>
      </c>
      <c r="F191" s="6" t="s">
        <v>15</v>
      </c>
      <c r="G191" s="8">
        <v>85.85</v>
      </c>
      <c r="H191" s="6"/>
    </row>
    <row r="192" spans="1:8">
      <c r="A192" s="5">
        <v>4383</v>
      </c>
      <c r="B192" s="6" t="str">
        <f>"李玉"</f>
        <v>李玉</v>
      </c>
      <c r="C192" s="6" t="str">
        <f>"女"</f>
        <v>女</v>
      </c>
      <c r="D192" s="6" t="str">
        <f>"202107022812"</f>
        <v>202107022812</v>
      </c>
      <c r="E192" s="10" t="s">
        <v>8</v>
      </c>
      <c r="F192" s="6" t="s">
        <v>15</v>
      </c>
      <c r="G192" s="8">
        <v>82.2</v>
      </c>
      <c r="H192" s="6"/>
    </row>
    <row r="193" spans="1:8">
      <c r="A193" s="5">
        <v>4387</v>
      </c>
      <c r="B193" s="6" t="str">
        <f>"易新颖"</f>
        <v>易新颖</v>
      </c>
      <c r="C193" s="6" t="str">
        <f>"男"</f>
        <v>男</v>
      </c>
      <c r="D193" s="6" t="str">
        <f>"202107022813"</f>
        <v>202107022813</v>
      </c>
      <c r="E193" s="10" t="s">
        <v>8</v>
      </c>
      <c r="F193" s="6" t="s">
        <v>15</v>
      </c>
      <c r="G193" s="8">
        <v>91.1</v>
      </c>
      <c r="H193" s="6"/>
    </row>
    <row r="194" spans="1:8">
      <c r="A194" s="5">
        <v>4393</v>
      </c>
      <c r="B194" s="6" t="str">
        <f>"吕文建"</f>
        <v>吕文建</v>
      </c>
      <c r="C194" s="6" t="str">
        <f>"女"</f>
        <v>女</v>
      </c>
      <c r="D194" s="6" t="str">
        <f>"202107022814"</f>
        <v>202107022814</v>
      </c>
      <c r="E194" s="10" t="s">
        <v>8</v>
      </c>
      <c r="F194" s="6" t="s">
        <v>15</v>
      </c>
      <c r="G194" s="8">
        <v>91.1</v>
      </c>
      <c r="H194" s="6"/>
    </row>
    <row r="195" spans="1:8">
      <c r="A195" s="5">
        <v>4379</v>
      </c>
      <c r="B195" s="6" t="str">
        <f>"蒋剑锋"</f>
        <v>蒋剑锋</v>
      </c>
      <c r="C195" s="6" t="str">
        <f>"男"</f>
        <v>男</v>
      </c>
      <c r="D195" s="6" t="str">
        <f>"202107022815"</f>
        <v>202107022815</v>
      </c>
      <c r="E195" s="10" t="s">
        <v>8</v>
      </c>
      <c r="F195" s="6" t="s">
        <v>15</v>
      </c>
      <c r="G195" s="8">
        <v>87.2</v>
      </c>
      <c r="H195" s="6"/>
    </row>
    <row r="196" spans="1:8">
      <c r="A196" s="5">
        <v>4378</v>
      </c>
      <c r="B196" s="6" t="str">
        <f>"邓维"</f>
        <v>邓维</v>
      </c>
      <c r="C196" s="6" t="str">
        <f>"女"</f>
        <v>女</v>
      </c>
      <c r="D196" s="6" t="str">
        <f>"202107022816"</f>
        <v>202107022816</v>
      </c>
      <c r="E196" s="10" t="s">
        <v>8</v>
      </c>
      <c r="F196" s="6" t="s">
        <v>15</v>
      </c>
      <c r="G196" s="8">
        <v>74.95</v>
      </c>
      <c r="H196" s="6"/>
    </row>
    <row r="197" spans="1:8">
      <c r="A197" s="5">
        <v>4380</v>
      </c>
      <c r="B197" s="6" t="str">
        <f>"周贤伍"</f>
        <v>周贤伍</v>
      </c>
      <c r="C197" s="6" t="str">
        <f>"男"</f>
        <v>男</v>
      </c>
      <c r="D197" s="6" t="str">
        <f>"202107022817"</f>
        <v>202107022817</v>
      </c>
      <c r="E197" s="10" t="s">
        <v>8</v>
      </c>
      <c r="F197" s="6" t="s">
        <v>15</v>
      </c>
      <c r="G197" s="8">
        <v>0</v>
      </c>
      <c r="H197" s="9">
        <v>1</v>
      </c>
    </row>
    <row r="198" spans="1:8">
      <c r="A198" s="5">
        <v>4374</v>
      </c>
      <c r="B198" s="6" t="str">
        <f>"戴玲林"</f>
        <v>戴玲林</v>
      </c>
      <c r="C198" s="6" t="str">
        <f>"女"</f>
        <v>女</v>
      </c>
      <c r="D198" s="6" t="str">
        <f>"202107022818"</f>
        <v>202107022818</v>
      </c>
      <c r="E198" s="10" t="s">
        <v>8</v>
      </c>
      <c r="F198" s="6" t="s">
        <v>15</v>
      </c>
      <c r="G198" s="8">
        <v>0</v>
      </c>
      <c r="H198" s="9">
        <v>1</v>
      </c>
    </row>
    <row r="199" spans="1:8">
      <c r="A199" s="5">
        <v>4390</v>
      </c>
      <c r="B199" s="6" t="str">
        <f>"刘后意"</f>
        <v>刘后意</v>
      </c>
      <c r="C199" s="6" t="str">
        <f>"男"</f>
        <v>男</v>
      </c>
      <c r="D199" s="6" t="str">
        <f>"202107022819"</f>
        <v>202107022819</v>
      </c>
      <c r="E199" s="10" t="s">
        <v>8</v>
      </c>
      <c r="F199" s="6" t="s">
        <v>15</v>
      </c>
      <c r="G199" s="8">
        <v>91.6</v>
      </c>
      <c r="H199" s="6"/>
    </row>
    <row r="200" spans="1:8">
      <c r="A200" s="5">
        <v>4381</v>
      </c>
      <c r="B200" s="6" t="str">
        <f>"何小霞"</f>
        <v>何小霞</v>
      </c>
      <c r="C200" s="6" t="str">
        <f t="shared" ref="C200:C212" si="8">"女"</f>
        <v>女</v>
      </c>
      <c r="D200" s="6" t="str">
        <f>"202107022820"</f>
        <v>202107022820</v>
      </c>
      <c r="E200" s="10" t="s">
        <v>8</v>
      </c>
      <c r="F200" s="6" t="s">
        <v>15</v>
      </c>
      <c r="G200" s="8">
        <v>89.35</v>
      </c>
      <c r="H200" s="6"/>
    </row>
    <row r="201" spans="1:8">
      <c r="A201" s="5">
        <v>4396</v>
      </c>
      <c r="B201" s="6" t="str">
        <f>"朱思颖"</f>
        <v>朱思颖</v>
      </c>
      <c r="C201" s="6" t="str">
        <f t="shared" si="8"/>
        <v>女</v>
      </c>
      <c r="D201" s="6" t="str">
        <f>"202108023127"</f>
        <v>202108023127</v>
      </c>
      <c r="E201" s="10" t="s">
        <v>8</v>
      </c>
      <c r="F201" s="6" t="s">
        <v>16</v>
      </c>
      <c r="G201" s="8">
        <v>68.599999999999994</v>
      </c>
      <c r="H201" s="6"/>
    </row>
    <row r="202" spans="1:8">
      <c r="A202" s="5">
        <v>4394</v>
      </c>
      <c r="B202" s="6" t="str">
        <f>"岳依然"</f>
        <v>岳依然</v>
      </c>
      <c r="C202" s="6" t="str">
        <f t="shared" si="8"/>
        <v>女</v>
      </c>
      <c r="D202" s="6" t="str">
        <f>"202108023128"</f>
        <v>202108023128</v>
      </c>
      <c r="E202" s="10" t="s">
        <v>8</v>
      </c>
      <c r="F202" s="6" t="s">
        <v>16</v>
      </c>
      <c r="G202" s="8">
        <v>62.3</v>
      </c>
      <c r="H202" s="6"/>
    </row>
    <row r="203" spans="1:8">
      <c r="A203" s="5">
        <v>4395</v>
      </c>
      <c r="B203" s="6" t="str">
        <f>"袁雪连"</f>
        <v>袁雪连</v>
      </c>
      <c r="C203" s="6" t="str">
        <f t="shared" si="8"/>
        <v>女</v>
      </c>
      <c r="D203" s="6" t="str">
        <f>"202108023129"</f>
        <v>202108023129</v>
      </c>
      <c r="E203" s="10" t="s">
        <v>8</v>
      </c>
      <c r="F203" s="6" t="s">
        <v>16</v>
      </c>
      <c r="G203" s="8">
        <v>64.95</v>
      </c>
      <c r="H203" s="6"/>
    </row>
    <row r="204" spans="1:8">
      <c r="A204" s="5">
        <v>4397</v>
      </c>
      <c r="B204" s="6" t="str">
        <f>"杨吉秋"</f>
        <v>杨吉秋</v>
      </c>
      <c r="C204" s="6" t="str">
        <f t="shared" si="8"/>
        <v>女</v>
      </c>
      <c r="D204" s="6" t="str">
        <f>"202109023130"</f>
        <v>202109023130</v>
      </c>
      <c r="E204" s="10" t="s">
        <v>8</v>
      </c>
      <c r="F204" s="6" t="s">
        <v>17</v>
      </c>
      <c r="G204" s="8">
        <v>68</v>
      </c>
      <c r="H204" s="6"/>
    </row>
    <row r="205" spans="1:8">
      <c r="A205" s="5">
        <v>4398</v>
      </c>
      <c r="B205" s="6" t="str">
        <f>"王敏"</f>
        <v>王敏</v>
      </c>
      <c r="C205" s="6" t="str">
        <f t="shared" si="8"/>
        <v>女</v>
      </c>
      <c r="D205" s="6" t="str">
        <f>"202109023206"</f>
        <v>202109023206</v>
      </c>
      <c r="E205" s="10" t="s">
        <v>8</v>
      </c>
      <c r="F205" s="6" t="s">
        <v>17</v>
      </c>
      <c r="G205" s="8">
        <v>71.900000000000006</v>
      </c>
      <c r="H205" s="6"/>
    </row>
    <row r="206" spans="1:8">
      <c r="A206" s="5">
        <v>4399</v>
      </c>
      <c r="B206" s="6" t="str">
        <f>"曾旭"</f>
        <v>曾旭</v>
      </c>
      <c r="C206" s="6" t="str">
        <f t="shared" si="8"/>
        <v>女</v>
      </c>
      <c r="D206" s="6" t="str">
        <f>"202109023207"</f>
        <v>202109023207</v>
      </c>
      <c r="E206" s="10" t="s">
        <v>8</v>
      </c>
      <c r="F206" s="6" t="s">
        <v>17</v>
      </c>
      <c r="G206" s="8">
        <v>68.900000000000006</v>
      </c>
      <c r="H206" s="6"/>
    </row>
    <row r="207" spans="1:8">
      <c r="A207" s="5">
        <v>16</v>
      </c>
      <c r="B207" s="6" t="str">
        <f>"欧阳敏"</f>
        <v>欧阳敏</v>
      </c>
      <c r="C207" s="6" t="str">
        <f t="shared" si="8"/>
        <v>女</v>
      </c>
      <c r="D207" s="6" t="str">
        <f>"202110040101"</f>
        <v>202110040101</v>
      </c>
      <c r="E207" s="7" t="s">
        <v>8</v>
      </c>
      <c r="F207" s="6" t="s">
        <v>18</v>
      </c>
      <c r="G207" s="8">
        <v>66.05</v>
      </c>
      <c r="H207" s="6"/>
    </row>
    <row r="208" spans="1:8">
      <c r="A208" s="5">
        <v>18</v>
      </c>
      <c r="B208" s="6" t="str">
        <f>"潘君妍"</f>
        <v>潘君妍</v>
      </c>
      <c r="C208" s="6" t="str">
        <f t="shared" si="8"/>
        <v>女</v>
      </c>
      <c r="D208" s="6" t="str">
        <f>"202110040102"</f>
        <v>202110040102</v>
      </c>
      <c r="E208" s="7" t="s">
        <v>8</v>
      </c>
      <c r="F208" s="6" t="s">
        <v>18</v>
      </c>
      <c r="G208" s="8">
        <v>73.2</v>
      </c>
      <c r="H208" s="6"/>
    </row>
    <row r="209" spans="1:8">
      <c r="A209" s="5">
        <v>13</v>
      </c>
      <c r="B209" s="6" t="str">
        <f>"胡姜艳"</f>
        <v>胡姜艳</v>
      </c>
      <c r="C209" s="6" t="str">
        <f t="shared" si="8"/>
        <v>女</v>
      </c>
      <c r="D209" s="6" t="str">
        <f>"202110040103"</f>
        <v>202110040103</v>
      </c>
      <c r="E209" s="7" t="s">
        <v>8</v>
      </c>
      <c r="F209" s="6" t="s">
        <v>18</v>
      </c>
      <c r="G209" s="8">
        <v>82.65</v>
      </c>
      <c r="H209" s="6"/>
    </row>
    <row r="210" spans="1:8">
      <c r="A210" s="5">
        <v>17</v>
      </c>
      <c r="B210" s="6" t="str">
        <f>"罗依婷"</f>
        <v>罗依婷</v>
      </c>
      <c r="C210" s="6" t="str">
        <f t="shared" si="8"/>
        <v>女</v>
      </c>
      <c r="D210" s="6" t="str">
        <f>"202110040104"</f>
        <v>202110040104</v>
      </c>
      <c r="E210" s="7" t="s">
        <v>8</v>
      </c>
      <c r="F210" s="6" t="s">
        <v>18</v>
      </c>
      <c r="G210" s="8">
        <v>0</v>
      </c>
      <c r="H210" s="9">
        <v>1</v>
      </c>
    </row>
    <row r="211" spans="1:8">
      <c r="A211" s="5">
        <v>10</v>
      </c>
      <c r="B211" s="6" t="str">
        <f>"肖红"</f>
        <v>肖红</v>
      </c>
      <c r="C211" s="6" t="str">
        <f t="shared" si="8"/>
        <v>女</v>
      </c>
      <c r="D211" s="6" t="str">
        <f>"202110040105"</f>
        <v>202110040105</v>
      </c>
      <c r="E211" s="7" t="s">
        <v>8</v>
      </c>
      <c r="F211" s="6" t="s">
        <v>18</v>
      </c>
      <c r="G211" s="8">
        <v>79.2</v>
      </c>
      <c r="H211" s="6"/>
    </row>
    <row r="212" spans="1:8">
      <c r="A212" s="5">
        <v>11</v>
      </c>
      <c r="B212" s="6" t="str">
        <f>"朱婷婷"</f>
        <v>朱婷婷</v>
      </c>
      <c r="C212" s="6" t="str">
        <f t="shared" si="8"/>
        <v>女</v>
      </c>
      <c r="D212" s="6" t="str">
        <f>"202110040106"</f>
        <v>202110040106</v>
      </c>
      <c r="E212" s="7" t="s">
        <v>8</v>
      </c>
      <c r="F212" s="6" t="s">
        <v>18</v>
      </c>
      <c r="G212" s="8">
        <v>87.05</v>
      </c>
      <c r="H212" s="6"/>
    </row>
    <row r="213" spans="1:8">
      <c r="A213" s="5">
        <v>15</v>
      </c>
      <c r="B213" s="6" t="str">
        <f>"彭玉成"</f>
        <v>彭玉成</v>
      </c>
      <c r="C213" s="6" t="str">
        <f>"男"</f>
        <v>男</v>
      </c>
      <c r="D213" s="6" t="str">
        <f>"202110040107"</f>
        <v>202110040107</v>
      </c>
      <c r="E213" s="7" t="s">
        <v>8</v>
      </c>
      <c r="F213" s="6" t="s">
        <v>18</v>
      </c>
      <c r="G213" s="8">
        <v>77.400000000000006</v>
      </c>
      <c r="H213" s="6"/>
    </row>
    <row r="214" spans="1:8">
      <c r="A214" s="5">
        <v>12</v>
      </c>
      <c r="B214" s="6" t="str">
        <f>"李洁"</f>
        <v>李洁</v>
      </c>
      <c r="C214" s="6" t="str">
        <f>"女"</f>
        <v>女</v>
      </c>
      <c r="D214" s="6" t="str">
        <f>"202110040108"</f>
        <v>202110040108</v>
      </c>
      <c r="E214" s="7" t="s">
        <v>8</v>
      </c>
      <c r="F214" s="6" t="s">
        <v>18</v>
      </c>
      <c r="G214" s="8">
        <v>78.25</v>
      </c>
      <c r="H214" s="6"/>
    </row>
    <row r="215" spans="1:8">
      <c r="A215" s="5">
        <v>14</v>
      </c>
      <c r="B215" s="6" t="str">
        <f>"李勇"</f>
        <v>李勇</v>
      </c>
      <c r="C215" s="6" t="str">
        <f>"男"</f>
        <v>男</v>
      </c>
      <c r="D215" s="6" t="str">
        <f>"202110040109"</f>
        <v>202110040109</v>
      </c>
      <c r="E215" s="7" t="s">
        <v>8</v>
      </c>
      <c r="F215" s="6" t="s">
        <v>18</v>
      </c>
      <c r="G215" s="8">
        <v>83.55</v>
      </c>
      <c r="H215" s="6"/>
    </row>
    <row r="216" spans="1:8">
      <c r="A216" s="5">
        <v>106</v>
      </c>
      <c r="B216" s="6" t="str">
        <f>"杨响铃"</f>
        <v>杨响铃</v>
      </c>
      <c r="C216" s="6" t="str">
        <f t="shared" ref="C216:C251" si="9">"女"</f>
        <v>女</v>
      </c>
      <c r="D216" s="6" t="str">
        <f>"202111021110"</f>
        <v>202111021110</v>
      </c>
      <c r="E216" s="10" t="s">
        <v>19</v>
      </c>
      <c r="F216" s="6" t="s">
        <v>9</v>
      </c>
      <c r="G216" s="8">
        <v>67.95</v>
      </c>
      <c r="H216" s="6"/>
    </row>
    <row r="217" spans="1:8">
      <c r="A217" s="5">
        <v>45</v>
      </c>
      <c r="B217" s="6" t="str">
        <f>"邹丽轩"</f>
        <v>邹丽轩</v>
      </c>
      <c r="C217" s="6" t="str">
        <f t="shared" si="9"/>
        <v>女</v>
      </c>
      <c r="D217" s="6" t="str">
        <f>"202111021111"</f>
        <v>202111021111</v>
      </c>
      <c r="E217" s="10" t="s">
        <v>19</v>
      </c>
      <c r="F217" s="6" t="s">
        <v>9</v>
      </c>
      <c r="G217" s="8">
        <v>66.25</v>
      </c>
      <c r="H217" s="6"/>
    </row>
    <row r="218" spans="1:8">
      <c r="A218" s="5">
        <v>67</v>
      </c>
      <c r="B218" s="6" t="str">
        <f>"李莎"</f>
        <v>李莎</v>
      </c>
      <c r="C218" s="6" t="str">
        <f t="shared" si="9"/>
        <v>女</v>
      </c>
      <c r="D218" s="6" t="str">
        <f>"202111021112"</f>
        <v>202111021112</v>
      </c>
      <c r="E218" s="10" t="s">
        <v>19</v>
      </c>
      <c r="F218" s="6" t="s">
        <v>9</v>
      </c>
      <c r="G218" s="8">
        <v>58.65</v>
      </c>
      <c r="H218" s="6"/>
    </row>
    <row r="219" spans="1:8">
      <c r="A219" s="5">
        <v>91</v>
      </c>
      <c r="B219" s="6" t="str">
        <f>"吴梦玲"</f>
        <v>吴梦玲</v>
      </c>
      <c r="C219" s="6" t="str">
        <f t="shared" si="9"/>
        <v>女</v>
      </c>
      <c r="D219" s="6" t="str">
        <f>"202111021113"</f>
        <v>202111021113</v>
      </c>
      <c r="E219" s="10" t="s">
        <v>19</v>
      </c>
      <c r="F219" s="6" t="s">
        <v>9</v>
      </c>
      <c r="G219" s="8">
        <v>58.95</v>
      </c>
      <c r="H219" s="6"/>
    </row>
    <row r="220" spans="1:8">
      <c r="A220" s="5">
        <v>112</v>
      </c>
      <c r="B220" s="6" t="str">
        <f>"谢晓燕"</f>
        <v>谢晓燕</v>
      </c>
      <c r="C220" s="6" t="str">
        <f t="shared" si="9"/>
        <v>女</v>
      </c>
      <c r="D220" s="6" t="str">
        <f>"202111021114"</f>
        <v>202111021114</v>
      </c>
      <c r="E220" s="10" t="s">
        <v>19</v>
      </c>
      <c r="F220" s="6" t="s">
        <v>9</v>
      </c>
      <c r="G220" s="8">
        <v>61.25</v>
      </c>
      <c r="H220" s="6"/>
    </row>
    <row r="221" spans="1:8">
      <c r="A221" s="5">
        <v>115</v>
      </c>
      <c r="B221" s="6" t="str">
        <f>"周叶玲"</f>
        <v>周叶玲</v>
      </c>
      <c r="C221" s="6" t="str">
        <f t="shared" si="9"/>
        <v>女</v>
      </c>
      <c r="D221" s="6" t="str">
        <f>"202111021115"</f>
        <v>202111021115</v>
      </c>
      <c r="E221" s="10" t="s">
        <v>19</v>
      </c>
      <c r="F221" s="6" t="s">
        <v>9</v>
      </c>
      <c r="G221" s="8">
        <v>73.849999999999994</v>
      </c>
      <c r="H221" s="6"/>
    </row>
    <row r="222" spans="1:8">
      <c r="A222" s="5">
        <v>78</v>
      </c>
      <c r="B222" s="6" t="str">
        <f>"黄玉婷"</f>
        <v>黄玉婷</v>
      </c>
      <c r="C222" s="6" t="str">
        <f t="shared" si="9"/>
        <v>女</v>
      </c>
      <c r="D222" s="6" t="str">
        <f>"202111021116"</f>
        <v>202111021116</v>
      </c>
      <c r="E222" s="10" t="s">
        <v>19</v>
      </c>
      <c r="F222" s="6" t="s">
        <v>9</v>
      </c>
      <c r="G222" s="8">
        <v>0</v>
      </c>
      <c r="H222" s="9">
        <v>1</v>
      </c>
    </row>
    <row r="223" spans="1:8">
      <c r="A223" s="5">
        <v>36</v>
      </c>
      <c r="B223" s="6" t="str">
        <f>"王小群"</f>
        <v>王小群</v>
      </c>
      <c r="C223" s="6" t="str">
        <f t="shared" si="9"/>
        <v>女</v>
      </c>
      <c r="D223" s="6" t="str">
        <f>"202111021117"</f>
        <v>202111021117</v>
      </c>
      <c r="E223" s="10" t="s">
        <v>19</v>
      </c>
      <c r="F223" s="6" t="s">
        <v>9</v>
      </c>
      <c r="G223" s="8">
        <v>61.7</v>
      </c>
      <c r="H223" s="6"/>
    </row>
    <row r="224" spans="1:8">
      <c r="A224" s="5">
        <v>26</v>
      </c>
      <c r="B224" s="6" t="str">
        <f>"邓佩"</f>
        <v>邓佩</v>
      </c>
      <c r="C224" s="6" t="str">
        <f t="shared" si="9"/>
        <v>女</v>
      </c>
      <c r="D224" s="6" t="str">
        <f>"202111021118"</f>
        <v>202111021118</v>
      </c>
      <c r="E224" s="10" t="s">
        <v>19</v>
      </c>
      <c r="F224" s="6" t="s">
        <v>9</v>
      </c>
      <c r="G224" s="8">
        <v>67.55</v>
      </c>
      <c r="H224" s="6"/>
    </row>
    <row r="225" spans="1:8">
      <c r="A225" s="5">
        <v>60</v>
      </c>
      <c r="B225" s="6" t="str">
        <f>"钱金艳"</f>
        <v>钱金艳</v>
      </c>
      <c r="C225" s="6" t="str">
        <f t="shared" si="9"/>
        <v>女</v>
      </c>
      <c r="D225" s="6" t="str">
        <f>"202111021119"</f>
        <v>202111021119</v>
      </c>
      <c r="E225" s="10" t="s">
        <v>19</v>
      </c>
      <c r="F225" s="6" t="s">
        <v>9</v>
      </c>
      <c r="G225" s="8">
        <v>69.75</v>
      </c>
      <c r="H225" s="6"/>
    </row>
    <row r="226" spans="1:8">
      <c r="A226" s="5">
        <v>20</v>
      </c>
      <c r="B226" s="6" t="str">
        <f>"周笑"</f>
        <v>周笑</v>
      </c>
      <c r="C226" s="6" t="str">
        <f t="shared" si="9"/>
        <v>女</v>
      </c>
      <c r="D226" s="6" t="str">
        <f>"202111021120"</f>
        <v>202111021120</v>
      </c>
      <c r="E226" s="10" t="s">
        <v>19</v>
      </c>
      <c r="F226" s="6" t="s">
        <v>9</v>
      </c>
      <c r="G226" s="8">
        <v>0</v>
      </c>
      <c r="H226" s="9">
        <v>1</v>
      </c>
    </row>
    <row r="227" spans="1:8">
      <c r="A227" s="5">
        <v>51</v>
      </c>
      <c r="B227" s="6" t="str">
        <f>"付彬彬"</f>
        <v>付彬彬</v>
      </c>
      <c r="C227" s="6" t="str">
        <f t="shared" si="9"/>
        <v>女</v>
      </c>
      <c r="D227" s="6" t="str">
        <f>"202111021121"</f>
        <v>202111021121</v>
      </c>
      <c r="E227" s="10" t="s">
        <v>19</v>
      </c>
      <c r="F227" s="6" t="s">
        <v>9</v>
      </c>
      <c r="G227" s="8">
        <v>69.45</v>
      </c>
      <c r="H227" s="6"/>
    </row>
    <row r="228" spans="1:8">
      <c r="A228" s="5">
        <v>83</v>
      </c>
      <c r="B228" s="6" t="str">
        <f>"谭巍巍"</f>
        <v>谭巍巍</v>
      </c>
      <c r="C228" s="6" t="str">
        <f t="shared" si="9"/>
        <v>女</v>
      </c>
      <c r="D228" s="6" t="str">
        <f>"202111021122"</f>
        <v>202111021122</v>
      </c>
      <c r="E228" s="10" t="s">
        <v>19</v>
      </c>
      <c r="F228" s="6" t="s">
        <v>9</v>
      </c>
      <c r="G228" s="8">
        <v>54.2</v>
      </c>
      <c r="H228" s="6"/>
    </row>
    <row r="229" spans="1:8">
      <c r="A229" s="5">
        <v>53</v>
      </c>
      <c r="B229" s="6" t="str">
        <f>"肖艳婷"</f>
        <v>肖艳婷</v>
      </c>
      <c r="C229" s="6" t="str">
        <f t="shared" si="9"/>
        <v>女</v>
      </c>
      <c r="D229" s="6" t="str">
        <f>"202111021123"</f>
        <v>202111021123</v>
      </c>
      <c r="E229" s="10" t="s">
        <v>19</v>
      </c>
      <c r="F229" s="6" t="s">
        <v>9</v>
      </c>
      <c r="G229" s="8">
        <v>75.849999999999994</v>
      </c>
      <c r="H229" s="6"/>
    </row>
    <row r="230" spans="1:8">
      <c r="A230" s="5">
        <v>39</v>
      </c>
      <c r="B230" s="6" t="str">
        <f>"林丽"</f>
        <v>林丽</v>
      </c>
      <c r="C230" s="6" t="str">
        <f t="shared" si="9"/>
        <v>女</v>
      </c>
      <c r="D230" s="6" t="str">
        <f>"202111021124"</f>
        <v>202111021124</v>
      </c>
      <c r="E230" s="10" t="s">
        <v>19</v>
      </c>
      <c r="F230" s="6" t="s">
        <v>9</v>
      </c>
      <c r="G230" s="8">
        <v>76.25</v>
      </c>
      <c r="H230" s="6"/>
    </row>
    <row r="231" spans="1:8">
      <c r="A231" s="5">
        <v>22</v>
      </c>
      <c r="B231" s="6" t="str">
        <f>"郭慧"</f>
        <v>郭慧</v>
      </c>
      <c r="C231" s="6" t="str">
        <f t="shared" si="9"/>
        <v>女</v>
      </c>
      <c r="D231" s="6" t="str">
        <f>"202111021125"</f>
        <v>202111021125</v>
      </c>
      <c r="E231" s="10" t="s">
        <v>19</v>
      </c>
      <c r="F231" s="6" t="s">
        <v>9</v>
      </c>
      <c r="G231" s="8">
        <v>0</v>
      </c>
      <c r="H231" s="9">
        <v>1</v>
      </c>
    </row>
    <row r="232" spans="1:8">
      <c r="A232" s="5">
        <v>31</v>
      </c>
      <c r="B232" s="6" t="str">
        <f>"肖艳爱"</f>
        <v>肖艳爱</v>
      </c>
      <c r="C232" s="6" t="str">
        <f t="shared" si="9"/>
        <v>女</v>
      </c>
      <c r="D232" s="6" t="str">
        <f>"202111021126"</f>
        <v>202111021126</v>
      </c>
      <c r="E232" s="10" t="s">
        <v>19</v>
      </c>
      <c r="F232" s="6" t="s">
        <v>9</v>
      </c>
      <c r="G232" s="8">
        <v>53.5</v>
      </c>
      <c r="H232" s="6"/>
    </row>
    <row r="233" spans="1:8">
      <c r="A233" s="5">
        <v>108</v>
      </c>
      <c r="B233" s="6" t="str">
        <f>"刘蕾"</f>
        <v>刘蕾</v>
      </c>
      <c r="C233" s="6" t="str">
        <f t="shared" si="9"/>
        <v>女</v>
      </c>
      <c r="D233" s="6" t="str">
        <f>"202111021127"</f>
        <v>202111021127</v>
      </c>
      <c r="E233" s="10" t="s">
        <v>19</v>
      </c>
      <c r="F233" s="6" t="s">
        <v>9</v>
      </c>
      <c r="G233" s="8">
        <v>64.400000000000006</v>
      </c>
      <c r="H233" s="6"/>
    </row>
    <row r="234" spans="1:8">
      <c r="A234" s="5">
        <v>44</v>
      </c>
      <c r="B234" s="6" t="str">
        <f>"杜思瑶"</f>
        <v>杜思瑶</v>
      </c>
      <c r="C234" s="6" t="str">
        <f t="shared" si="9"/>
        <v>女</v>
      </c>
      <c r="D234" s="6" t="str">
        <f>"202111021128"</f>
        <v>202111021128</v>
      </c>
      <c r="E234" s="10" t="s">
        <v>19</v>
      </c>
      <c r="F234" s="6" t="s">
        <v>9</v>
      </c>
      <c r="G234" s="8">
        <v>70.45</v>
      </c>
      <c r="H234" s="6"/>
    </row>
    <row r="235" spans="1:8">
      <c r="A235" s="5">
        <v>107</v>
      </c>
      <c r="B235" s="6" t="str">
        <f>"刘雪寒"</f>
        <v>刘雪寒</v>
      </c>
      <c r="C235" s="6" t="str">
        <f t="shared" si="9"/>
        <v>女</v>
      </c>
      <c r="D235" s="6" t="str">
        <f>"202111021129"</f>
        <v>202111021129</v>
      </c>
      <c r="E235" s="10" t="s">
        <v>19</v>
      </c>
      <c r="F235" s="6" t="s">
        <v>9</v>
      </c>
      <c r="G235" s="8">
        <v>62.75</v>
      </c>
      <c r="H235" s="6"/>
    </row>
    <row r="236" spans="1:8">
      <c r="A236" s="5">
        <v>68</v>
      </c>
      <c r="B236" s="6" t="str">
        <f>"段平兰"</f>
        <v>段平兰</v>
      </c>
      <c r="C236" s="6" t="str">
        <f t="shared" si="9"/>
        <v>女</v>
      </c>
      <c r="D236" s="6" t="str">
        <f>"202111021130"</f>
        <v>202111021130</v>
      </c>
      <c r="E236" s="10" t="s">
        <v>19</v>
      </c>
      <c r="F236" s="6" t="s">
        <v>9</v>
      </c>
      <c r="G236" s="8">
        <v>68.55</v>
      </c>
      <c r="H236" s="6"/>
    </row>
    <row r="237" spans="1:8">
      <c r="A237" s="5">
        <v>43</v>
      </c>
      <c r="B237" s="6" t="str">
        <f>"许曾荣"</f>
        <v>许曾荣</v>
      </c>
      <c r="C237" s="6" t="str">
        <f t="shared" si="9"/>
        <v>女</v>
      </c>
      <c r="D237" s="6" t="str">
        <f>"202111021201"</f>
        <v>202111021201</v>
      </c>
      <c r="E237" s="10" t="s">
        <v>19</v>
      </c>
      <c r="F237" s="6" t="s">
        <v>9</v>
      </c>
      <c r="G237" s="8">
        <v>77.900000000000006</v>
      </c>
      <c r="H237" s="6"/>
    </row>
    <row r="238" spans="1:8">
      <c r="A238" s="5">
        <v>62</v>
      </c>
      <c r="B238" s="6" t="str">
        <f>"王敏"</f>
        <v>王敏</v>
      </c>
      <c r="C238" s="6" t="str">
        <f t="shared" si="9"/>
        <v>女</v>
      </c>
      <c r="D238" s="6" t="str">
        <f>"202111021202"</f>
        <v>202111021202</v>
      </c>
      <c r="E238" s="10" t="s">
        <v>19</v>
      </c>
      <c r="F238" s="6" t="s">
        <v>9</v>
      </c>
      <c r="G238" s="8">
        <v>68.349999999999994</v>
      </c>
      <c r="H238" s="6"/>
    </row>
    <row r="239" spans="1:8">
      <c r="A239" s="5">
        <v>109</v>
      </c>
      <c r="B239" s="6" t="str">
        <f>"戴珍玲"</f>
        <v>戴珍玲</v>
      </c>
      <c r="C239" s="6" t="str">
        <f t="shared" si="9"/>
        <v>女</v>
      </c>
      <c r="D239" s="6" t="str">
        <f>"202111021203"</f>
        <v>202111021203</v>
      </c>
      <c r="E239" s="10" t="s">
        <v>19</v>
      </c>
      <c r="F239" s="6" t="s">
        <v>9</v>
      </c>
      <c r="G239" s="8">
        <v>73.599999999999994</v>
      </c>
      <c r="H239" s="6"/>
    </row>
    <row r="240" spans="1:8">
      <c r="A240" s="5">
        <v>121</v>
      </c>
      <c r="B240" s="6" t="str">
        <f>"王琼"</f>
        <v>王琼</v>
      </c>
      <c r="C240" s="6" t="str">
        <f t="shared" si="9"/>
        <v>女</v>
      </c>
      <c r="D240" s="6" t="str">
        <f>"202111021204"</f>
        <v>202111021204</v>
      </c>
      <c r="E240" s="10" t="s">
        <v>19</v>
      </c>
      <c r="F240" s="6" t="s">
        <v>9</v>
      </c>
      <c r="G240" s="8">
        <v>72.099999999999994</v>
      </c>
      <c r="H240" s="6"/>
    </row>
    <row r="241" spans="1:8">
      <c r="A241" s="5">
        <v>97</v>
      </c>
      <c r="B241" s="6" t="str">
        <f>"陈亚兰"</f>
        <v>陈亚兰</v>
      </c>
      <c r="C241" s="6" t="str">
        <f t="shared" si="9"/>
        <v>女</v>
      </c>
      <c r="D241" s="6" t="str">
        <f>"202111021205"</f>
        <v>202111021205</v>
      </c>
      <c r="E241" s="10" t="s">
        <v>19</v>
      </c>
      <c r="F241" s="6" t="s">
        <v>9</v>
      </c>
      <c r="G241" s="8">
        <v>55.1</v>
      </c>
      <c r="H241" s="6"/>
    </row>
    <row r="242" spans="1:8">
      <c r="A242" s="5">
        <v>71</v>
      </c>
      <c r="B242" s="6" t="str">
        <f>"谢健康"</f>
        <v>谢健康</v>
      </c>
      <c r="C242" s="6" t="str">
        <f t="shared" si="9"/>
        <v>女</v>
      </c>
      <c r="D242" s="6" t="str">
        <f>"202111021206"</f>
        <v>202111021206</v>
      </c>
      <c r="E242" s="10" t="s">
        <v>19</v>
      </c>
      <c r="F242" s="6" t="s">
        <v>9</v>
      </c>
      <c r="G242" s="8">
        <v>70.349999999999994</v>
      </c>
      <c r="H242" s="6"/>
    </row>
    <row r="243" spans="1:8">
      <c r="A243" s="5">
        <v>84</v>
      </c>
      <c r="B243" s="6" t="str">
        <f>"谭菲"</f>
        <v>谭菲</v>
      </c>
      <c r="C243" s="6" t="str">
        <f t="shared" si="9"/>
        <v>女</v>
      </c>
      <c r="D243" s="6" t="str">
        <f>"202111021207"</f>
        <v>202111021207</v>
      </c>
      <c r="E243" s="10" t="s">
        <v>19</v>
      </c>
      <c r="F243" s="6" t="s">
        <v>9</v>
      </c>
      <c r="G243" s="8">
        <v>57.35</v>
      </c>
      <c r="H243" s="6"/>
    </row>
    <row r="244" spans="1:8">
      <c r="A244" s="5">
        <v>93</v>
      </c>
      <c r="B244" s="6" t="str">
        <f>"陈静"</f>
        <v>陈静</v>
      </c>
      <c r="C244" s="6" t="str">
        <f t="shared" si="9"/>
        <v>女</v>
      </c>
      <c r="D244" s="6" t="str">
        <f>"202111021208"</f>
        <v>202111021208</v>
      </c>
      <c r="E244" s="10" t="s">
        <v>19</v>
      </c>
      <c r="F244" s="6" t="s">
        <v>9</v>
      </c>
      <c r="G244" s="8">
        <v>67.55</v>
      </c>
      <c r="H244" s="6"/>
    </row>
    <row r="245" spans="1:8">
      <c r="A245" s="5">
        <v>29</v>
      </c>
      <c r="B245" s="6" t="str">
        <f>"吴昌玉"</f>
        <v>吴昌玉</v>
      </c>
      <c r="C245" s="6" t="str">
        <f t="shared" si="9"/>
        <v>女</v>
      </c>
      <c r="D245" s="6" t="str">
        <f>"202111021209"</f>
        <v>202111021209</v>
      </c>
      <c r="E245" s="10" t="s">
        <v>19</v>
      </c>
      <c r="F245" s="6" t="s">
        <v>9</v>
      </c>
      <c r="G245" s="8">
        <v>61.5</v>
      </c>
      <c r="H245" s="6"/>
    </row>
    <row r="246" spans="1:8">
      <c r="A246" s="5">
        <v>61</v>
      </c>
      <c r="B246" s="6" t="str">
        <f>"王玉娟"</f>
        <v>王玉娟</v>
      </c>
      <c r="C246" s="6" t="str">
        <f t="shared" si="9"/>
        <v>女</v>
      </c>
      <c r="D246" s="6" t="str">
        <f>"202111021210"</f>
        <v>202111021210</v>
      </c>
      <c r="E246" s="10" t="s">
        <v>19</v>
      </c>
      <c r="F246" s="6" t="s">
        <v>9</v>
      </c>
      <c r="G246" s="8">
        <v>52.6</v>
      </c>
      <c r="H246" s="6"/>
    </row>
    <row r="247" spans="1:8">
      <c r="A247" s="5">
        <v>103</v>
      </c>
      <c r="B247" s="6" t="str">
        <f>"黄丹艳"</f>
        <v>黄丹艳</v>
      </c>
      <c r="C247" s="6" t="str">
        <f t="shared" si="9"/>
        <v>女</v>
      </c>
      <c r="D247" s="6" t="str">
        <f>"202111021211"</f>
        <v>202111021211</v>
      </c>
      <c r="E247" s="10" t="s">
        <v>19</v>
      </c>
      <c r="F247" s="6" t="s">
        <v>9</v>
      </c>
      <c r="G247" s="8">
        <v>72.25</v>
      </c>
      <c r="H247" s="6"/>
    </row>
    <row r="248" spans="1:8">
      <c r="A248" s="5">
        <v>118</v>
      </c>
      <c r="B248" s="6" t="str">
        <f>"张敏"</f>
        <v>张敏</v>
      </c>
      <c r="C248" s="6" t="str">
        <f t="shared" si="9"/>
        <v>女</v>
      </c>
      <c r="D248" s="6" t="str">
        <f>"202111021212"</f>
        <v>202111021212</v>
      </c>
      <c r="E248" s="10" t="s">
        <v>19</v>
      </c>
      <c r="F248" s="6" t="s">
        <v>9</v>
      </c>
      <c r="G248" s="8">
        <v>65.099999999999994</v>
      </c>
      <c r="H248" s="6"/>
    </row>
    <row r="249" spans="1:8">
      <c r="A249" s="5">
        <v>80</v>
      </c>
      <c r="B249" s="6" t="str">
        <f>"唐毅儒"</f>
        <v>唐毅儒</v>
      </c>
      <c r="C249" s="6" t="str">
        <f t="shared" si="9"/>
        <v>女</v>
      </c>
      <c r="D249" s="6" t="str">
        <f>"202111021213"</f>
        <v>202111021213</v>
      </c>
      <c r="E249" s="10" t="s">
        <v>19</v>
      </c>
      <c r="F249" s="6" t="s">
        <v>9</v>
      </c>
      <c r="G249" s="8">
        <v>79.55</v>
      </c>
      <c r="H249" s="6"/>
    </row>
    <row r="250" spans="1:8">
      <c r="A250" s="5">
        <v>28</v>
      </c>
      <c r="B250" s="6" t="str">
        <f>"刘琪"</f>
        <v>刘琪</v>
      </c>
      <c r="C250" s="6" t="str">
        <f t="shared" si="9"/>
        <v>女</v>
      </c>
      <c r="D250" s="6" t="str">
        <f>"202111021214"</f>
        <v>202111021214</v>
      </c>
      <c r="E250" s="10" t="s">
        <v>19</v>
      </c>
      <c r="F250" s="6" t="s">
        <v>9</v>
      </c>
      <c r="G250" s="8">
        <v>0</v>
      </c>
      <c r="H250" s="9">
        <v>1</v>
      </c>
    </row>
    <row r="251" spans="1:8">
      <c r="A251" s="5">
        <v>35</v>
      </c>
      <c r="B251" s="6" t="str">
        <f>"肖茜匀"</f>
        <v>肖茜匀</v>
      </c>
      <c r="C251" s="6" t="str">
        <f t="shared" si="9"/>
        <v>女</v>
      </c>
      <c r="D251" s="6" t="str">
        <f>"202111021215"</f>
        <v>202111021215</v>
      </c>
      <c r="E251" s="10" t="s">
        <v>19</v>
      </c>
      <c r="F251" s="6" t="s">
        <v>9</v>
      </c>
      <c r="G251" s="8">
        <v>58.65</v>
      </c>
      <c r="H251" s="6"/>
    </row>
    <row r="252" spans="1:8">
      <c r="A252" s="5">
        <v>54</v>
      </c>
      <c r="B252" s="6" t="str">
        <f>"王立鹏"</f>
        <v>王立鹏</v>
      </c>
      <c r="C252" s="6" t="str">
        <f>"男"</f>
        <v>男</v>
      </c>
      <c r="D252" s="6" t="str">
        <f>"202111021216"</f>
        <v>202111021216</v>
      </c>
      <c r="E252" s="10" t="s">
        <v>19</v>
      </c>
      <c r="F252" s="6" t="s">
        <v>9</v>
      </c>
      <c r="G252" s="8">
        <v>61.4</v>
      </c>
      <c r="H252" s="6"/>
    </row>
    <row r="253" spans="1:8">
      <c r="A253" s="5">
        <v>99</v>
      </c>
      <c r="B253" s="6" t="str">
        <f>"杨阳"</f>
        <v>杨阳</v>
      </c>
      <c r="C253" s="6" t="str">
        <f t="shared" ref="C253:C266" si="10">"女"</f>
        <v>女</v>
      </c>
      <c r="D253" s="6" t="str">
        <f>"202111021217"</f>
        <v>202111021217</v>
      </c>
      <c r="E253" s="10" t="s">
        <v>19</v>
      </c>
      <c r="F253" s="6" t="s">
        <v>9</v>
      </c>
      <c r="G253" s="8">
        <v>69.7</v>
      </c>
      <c r="H253" s="6"/>
    </row>
    <row r="254" spans="1:8">
      <c r="A254" s="5">
        <v>113</v>
      </c>
      <c r="B254" s="6" t="str">
        <f>"陈芬"</f>
        <v>陈芬</v>
      </c>
      <c r="C254" s="6" t="str">
        <f t="shared" si="10"/>
        <v>女</v>
      </c>
      <c r="D254" s="6" t="str">
        <f>"202111021218"</f>
        <v>202111021218</v>
      </c>
      <c r="E254" s="10" t="s">
        <v>19</v>
      </c>
      <c r="F254" s="6" t="s">
        <v>9</v>
      </c>
      <c r="G254" s="8">
        <v>62.55</v>
      </c>
      <c r="H254" s="6"/>
    </row>
    <row r="255" spans="1:8">
      <c r="A255" s="5">
        <v>95</v>
      </c>
      <c r="B255" s="6" t="str">
        <f>"唐春燕"</f>
        <v>唐春燕</v>
      </c>
      <c r="C255" s="6" t="str">
        <f t="shared" si="10"/>
        <v>女</v>
      </c>
      <c r="D255" s="6" t="str">
        <f>"202111021219"</f>
        <v>202111021219</v>
      </c>
      <c r="E255" s="10" t="s">
        <v>19</v>
      </c>
      <c r="F255" s="6" t="s">
        <v>9</v>
      </c>
      <c r="G255" s="8">
        <v>60.8</v>
      </c>
      <c r="H255" s="6"/>
    </row>
    <row r="256" spans="1:8">
      <c r="A256" s="5">
        <v>73</v>
      </c>
      <c r="B256" s="6" t="str">
        <f>"刘沁溪"</f>
        <v>刘沁溪</v>
      </c>
      <c r="C256" s="6" t="str">
        <f t="shared" si="10"/>
        <v>女</v>
      </c>
      <c r="D256" s="6" t="str">
        <f>"202111021220"</f>
        <v>202111021220</v>
      </c>
      <c r="E256" s="10" t="s">
        <v>19</v>
      </c>
      <c r="F256" s="6" t="s">
        <v>9</v>
      </c>
      <c r="G256" s="8">
        <v>72.5</v>
      </c>
      <c r="H256" s="6"/>
    </row>
    <row r="257" spans="1:8">
      <c r="A257" s="5">
        <v>100</v>
      </c>
      <c r="B257" s="6" t="str">
        <f>"肖洁容"</f>
        <v>肖洁容</v>
      </c>
      <c r="C257" s="6" t="str">
        <f t="shared" si="10"/>
        <v>女</v>
      </c>
      <c r="D257" s="6" t="str">
        <f>"202111021221"</f>
        <v>202111021221</v>
      </c>
      <c r="E257" s="10" t="s">
        <v>19</v>
      </c>
      <c r="F257" s="6" t="s">
        <v>9</v>
      </c>
      <c r="G257" s="8">
        <v>0</v>
      </c>
      <c r="H257" s="9">
        <v>1</v>
      </c>
    </row>
    <row r="258" spans="1:8">
      <c r="A258" s="5">
        <v>72</v>
      </c>
      <c r="B258" s="6" t="str">
        <f>"梁湘鄂"</f>
        <v>梁湘鄂</v>
      </c>
      <c r="C258" s="6" t="str">
        <f t="shared" si="10"/>
        <v>女</v>
      </c>
      <c r="D258" s="6" t="str">
        <f>"202111021222"</f>
        <v>202111021222</v>
      </c>
      <c r="E258" s="10" t="s">
        <v>19</v>
      </c>
      <c r="F258" s="6" t="s">
        <v>9</v>
      </c>
      <c r="G258" s="8">
        <v>65.05</v>
      </c>
      <c r="H258" s="6"/>
    </row>
    <row r="259" spans="1:8">
      <c r="A259" s="5">
        <v>25</v>
      </c>
      <c r="B259" s="6" t="str">
        <f>"姚嶒容"</f>
        <v>姚嶒容</v>
      </c>
      <c r="C259" s="6" t="str">
        <f t="shared" si="10"/>
        <v>女</v>
      </c>
      <c r="D259" s="6" t="str">
        <f>"202111021223"</f>
        <v>202111021223</v>
      </c>
      <c r="E259" s="10" t="s">
        <v>19</v>
      </c>
      <c r="F259" s="6" t="s">
        <v>9</v>
      </c>
      <c r="G259" s="8">
        <v>0</v>
      </c>
      <c r="H259" s="9">
        <v>1</v>
      </c>
    </row>
    <row r="260" spans="1:8">
      <c r="A260" s="5">
        <v>69</v>
      </c>
      <c r="B260" s="6" t="str">
        <f>"罗洁"</f>
        <v>罗洁</v>
      </c>
      <c r="C260" s="6" t="str">
        <f t="shared" si="10"/>
        <v>女</v>
      </c>
      <c r="D260" s="6" t="str">
        <f>"202111021224"</f>
        <v>202111021224</v>
      </c>
      <c r="E260" s="10" t="s">
        <v>19</v>
      </c>
      <c r="F260" s="6" t="s">
        <v>9</v>
      </c>
      <c r="G260" s="8">
        <v>68.400000000000006</v>
      </c>
      <c r="H260" s="6"/>
    </row>
    <row r="261" spans="1:8">
      <c r="A261" s="5">
        <v>58</v>
      </c>
      <c r="B261" s="6" t="str">
        <f>"唐津"</f>
        <v>唐津</v>
      </c>
      <c r="C261" s="6" t="str">
        <f t="shared" si="10"/>
        <v>女</v>
      </c>
      <c r="D261" s="6" t="str">
        <f>"202111021225"</f>
        <v>202111021225</v>
      </c>
      <c r="E261" s="10" t="s">
        <v>19</v>
      </c>
      <c r="F261" s="6" t="s">
        <v>9</v>
      </c>
      <c r="G261" s="8">
        <v>60.9</v>
      </c>
      <c r="H261" s="6"/>
    </row>
    <row r="262" spans="1:8">
      <c r="A262" s="5">
        <v>27</v>
      </c>
      <c r="B262" s="6" t="str">
        <f>"刘敏"</f>
        <v>刘敏</v>
      </c>
      <c r="C262" s="6" t="str">
        <f t="shared" si="10"/>
        <v>女</v>
      </c>
      <c r="D262" s="6" t="str">
        <f>"202111021226"</f>
        <v>202111021226</v>
      </c>
      <c r="E262" s="10" t="s">
        <v>19</v>
      </c>
      <c r="F262" s="6" t="s">
        <v>9</v>
      </c>
      <c r="G262" s="8">
        <v>67.7</v>
      </c>
      <c r="H262" s="6"/>
    </row>
    <row r="263" spans="1:8">
      <c r="A263" s="5">
        <v>81</v>
      </c>
      <c r="B263" s="6" t="str">
        <f>"肖雅云"</f>
        <v>肖雅云</v>
      </c>
      <c r="C263" s="6" t="str">
        <f t="shared" si="10"/>
        <v>女</v>
      </c>
      <c r="D263" s="6" t="str">
        <f>"202111021227"</f>
        <v>202111021227</v>
      </c>
      <c r="E263" s="10" t="s">
        <v>19</v>
      </c>
      <c r="F263" s="6" t="s">
        <v>9</v>
      </c>
      <c r="G263" s="8">
        <v>67.650000000000006</v>
      </c>
      <c r="H263" s="6"/>
    </row>
    <row r="264" spans="1:8">
      <c r="A264" s="5">
        <v>82</v>
      </c>
      <c r="B264" s="6" t="str">
        <f>"涂楚琪"</f>
        <v>涂楚琪</v>
      </c>
      <c r="C264" s="6" t="str">
        <f t="shared" si="10"/>
        <v>女</v>
      </c>
      <c r="D264" s="6" t="str">
        <f>"202111021228"</f>
        <v>202111021228</v>
      </c>
      <c r="E264" s="10" t="s">
        <v>19</v>
      </c>
      <c r="F264" s="6" t="s">
        <v>9</v>
      </c>
      <c r="G264" s="8">
        <v>71.099999999999994</v>
      </c>
      <c r="H264" s="6"/>
    </row>
    <row r="265" spans="1:8">
      <c r="A265" s="5">
        <v>33</v>
      </c>
      <c r="B265" s="6" t="str">
        <f>"肖双梅"</f>
        <v>肖双梅</v>
      </c>
      <c r="C265" s="6" t="str">
        <f t="shared" si="10"/>
        <v>女</v>
      </c>
      <c r="D265" s="6" t="str">
        <f>"202111021229"</f>
        <v>202111021229</v>
      </c>
      <c r="E265" s="10" t="s">
        <v>19</v>
      </c>
      <c r="F265" s="6" t="s">
        <v>9</v>
      </c>
      <c r="G265" s="8">
        <v>61.85</v>
      </c>
      <c r="H265" s="6"/>
    </row>
    <row r="266" spans="1:8">
      <c r="A266" s="5">
        <v>63</v>
      </c>
      <c r="B266" s="6" t="str">
        <f>"王榕"</f>
        <v>王榕</v>
      </c>
      <c r="C266" s="6" t="str">
        <f t="shared" si="10"/>
        <v>女</v>
      </c>
      <c r="D266" s="6" t="str">
        <f>"202111021230"</f>
        <v>202111021230</v>
      </c>
      <c r="E266" s="10" t="s">
        <v>19</v>
      </c>
      <c r="F266" s="6" t="s">
        <v>9</v>
      </c>
      <c r="G266" s="8">
        <v>73.599999999999994</v>
      </c>
      <c r="H266" s="6"/>
    </row>
    <row r="267" spans="1:8">
      <c r="A267" s="5">
        <v>74</v>
      </c>
      <c r="B267" s="6" t="str">
        <f>"彭文科"</f>
        <v>彭文科</v>
      </c>
      <c r="C267" s="6" t="str">
        <f>"男"</f>
        <v>男</v>
      </c>
      <c r="D267" s="6" t="str">
        <f>"202111021301"</f>
        <v>202111021301</v>
      </c>
      <c r="E267" s="10" t="s">
        <v>19</v>
      </c>
      <c r="F267" s="6" t="s">
        <v>9</v>
      </c>
      <c r="G267" s="8">
        <v>0</v>
      </c>
      <c r="H267" s="9">
        <v>1</v>
      </c>
    </row>
    <row r="268" spans="1:8">
      <c r="A268" s="5">
        <v>116</v>
      </c>
      <c r="B268" s="6" t="str">
        <f>"张慧敏"</f>
        <v>张慧敏</v>
      </c>
      <c r="C268" s="6" t="str">
        <f>"女"</f>
        <v>女</v>
      </c>
      <c r="D268" s="6" t="str">
        <f>"202111021302"</f>
        <v>202111021302</v>
      </c>
      <c r="E268" s="10" t="s">
        <v>19</v>
      </c>
      <c r="F268" s="6" t="s">
        <v>9</v>
      </c>
      <c r="G268" s="8">
        <v>74.7</v>
      </c>
      <c r="H268" s="6"/>
    </row>
    <row r="269" spans="1:8">
      <c r="A269" s="5">
        <v>102</v>
      </c>
      <c r="B269" s="6" t="str">
        <f>"刘淑"</f>
        <v>刘淑</v>
      </c>
      <c r="C269" s="6" t="str">
        <f>"女"</f>
        <v>女</v>
      </c>
      <c r="D269" s="6" t="str">
        <f>"202111021303"</f>
        <v>202111021303</v>
      </c>
      <c r="E269" s="10" t="s">
        <v>19</v>
      </c>
      <c r="F269" s="6" t="s">
        <v>9</v>
      </c>
      <c r="G269" s="8">
        <v>69.849999999999994</v>
      </c>
      <c r="H269" s="6"/>
    </row>
    <row r="270" spans="1:8">
      <c r="A270" s="5">
        <v>70</v>
      </c>
      <c r="B270" s="6" t="str">
        <f>"董远建"</f>
        <v>董远建</v>
      </c>
      <c r="C270" s="6" t="str">
        <f>"男"</f>
        <v>男</v>
      </c>
      <c r="D270" s="6" t="str">
        <f>"202111021304"</f>
        <v>202111021304</v>
      </c>
      <c r="E270" s="10" t="s">
        <v>19</v>
      </c>
      <c r="F270" s="6" t="s">
        <v>9</v>
      </c>
      <c r="G270" s="8">
        <v>66.95</v>
      </c>
      <c r="H270" s="6"/>
    </row>
    <row r="271" spans="1:8">
      <c r="A271" s="5">
        <v>88</v>
      </c>
      <c r="B271" s="6" t="str">
        <f>"刘慧"</f>
        <v>刘慧</v>
      </c>
      <c r="C271" s="6" t="str">
        <f t="shared" ref="C271:C276" si="11">"女"</f>
        <v>女</v>
      </c>
      <c r="D271" s="6" t="str">
        <f>"202111021305"</f>
        <v>202111021305</v>
      </c>
      <c r="E271" s="10" t="s">
        <v>19</v>
      </c>
      <c r="F271" s="6" t="s">
        <v>9</v>
      </c>
      <c r="G271" s="8">
        <v>74.95</v>
      </c>
      <c r="H271" s="6"/>
    </row>
    <row r="272" spans="1:8">
      <c r="A272" s="5">
        <v>104</v>
      </c>
      <c r="B272" s="6" t="str">
        <f>"周燕"</f>
        <v>周燕</v>
      </c>
      <c r="C272" s="6" t="str">
        <f t="shared" si="11"/>
        <v>女</v>
      </c>
      <c r="D272" s="6" t="str">
        <f>"202111021306"</f>
        <v>202111021306</v>
      </c>
      <c r="E272" s="10" t="s">
        <v>19</v>
      </c>
      <c r="F272" s="6" t="s">
        <v>9</v>
      </c>
      <c r="G272" s="8">
        <v>64.75</v>
      </c>
      <c r="H272" s="6"/>
    </row>
    <row r="273" spans="1:8">
      <c r="A273" s="5">
        <v>49</v>
      </c>
      <c r="B273" s="6" t="str">
        <f>"李心怡"</f>
        <v>李心怡</v>
      </c>
      <c r="C273" s="6" t="str">
        <f t="shared" si="11"/>
        <v>女</v>
      </c>
      <c r="D273" s="6" t="str">
        <f>"202111021307"</f>
        <v>202111021307</v>
      </c>
      <c r="E273" s="10" t="s">
        <v>19</v>
      </c>
      <c r="F273" s="6" t="s">
        <v>9</v>
      </c>
      <c r="G273" s="8">
        <v>77.25</v>
      </c>
      <c r="H273" s="6"/>
    </row>
    <row r="274" spans="1:8">
      <c r="A274" s="5">
        <v>32</v>
      </c>
      <c r="B274" s="6" t="str">
        <f>"朱梦玲"</f>
        <v>朱梦玲</v>
      </c>
      <c r="C274" s="6" t="str">
        <f t="shared" si="11"/>
        <v>女</v>
      </c>
      <c r="D274" s="6" t="str">
        <f>"202111021308"</f>
        <v>202111021308</v>
      </c>
      <c r="E274" s="10" t="s">
        <v>19</v>
      </c>
      <c r="F274" s="6" t="s">
        <v>9</v>
      </c>
      <c r="G274" s="8">
        <v>69.05</v>
      </c>
      <c r="H274" s="6"/>
    </row>
    <row r="275" spans="1:8">
      <c r="A275" s="5">
        <v>98</v>
      </c>
      <c r="B275" s="6" t="str">
        <f>"曾珠媛"</f>
        <v>曾珠媛</v>
      </c>
      <c r="C275" s="6" t="str">
        <f t="shared" si="11"/>
        <v>女</v>
      </c>
      <c r="D275" s="6" t="str">
        <f>"202111021309"</f>
        <v>202111021309</v>
      </c>
      <c r="E275" s="10" t="s">
        <v>19</v>
      </c>
      <c r="F275" s="6" t="s">
        <v>9</v>
      </c>
      <c r="G275" s="8">
        <v>66.599999999999994</v>
      </c>
      <c r="H275" s="6"/>
    </row>
    <row r="276" spans="1:8">
      <c r="A276" s="5">
        <v>110</v>
      </c>
      <c r="B276" s="6" t="str">
        <f>"郭晨"</f>
        <v>郭晨</v>
      </c>
      <c r="C276" s="6" t="str">
        <f t="shared" si="11"/>
        <v>女</v>
      </c>
      <c r="D276" s="6" t="str">
        <f>"202111021310"</f>
        <v>202111021310</v>
      </c>
      <c r="E276" s="10" t="s">
        <v>19</v>
      </c>
      <c r="F276" s="6" t="s">
        <v>9</v>
      </c>
      <c r="G276" s="8">
        <v>72.95</v>
      </c>
      <c r="H276" s="6"/>
    </row>
    <row r="277" spans="1:8">
      <c r="A277" s="5">
        <v>24</v>
      </c>
      <c r="B277" s="6" t="str">
        <f>"蒋鋆海"</f>
        <v>蒋鋆海</v>
      </c>
      <c r="C277" s="6" t="str">
        <f>"男"</f>
        <v>男</v>
      </c>
      <c r="D277" s="6" t="str">
        <f>"202111021311"</f>
        <v>202111021311</v>
      </c>
      <c r="E277" s="10" t="s">
        <v>19</v>
      </c>
      <c r="F277" s="6" t="s">
        <v>9</v>
      </c>
      <c r="G277" s="8">
        <v>0</v>
      </c>
      <c r="H277" s="9">
        <v>1</v>
      </c>
    </row>
    <row r="278" spans="1:8">
      <c r="A278" s="5">
        <v>30</v>
      </c>
      <c r="B278" s="6" t="str">
        <f>"朱莉沙"</f>
        <v>朱莉沙</v>
      </c>
      <c r="C278" s="6" t="str">
        <f>"女"</f>
        <v>女</v>
      </c>
      <c r="D278" s="6" t="str">
        <f>"202111021312"</f>
        <v>202111021312</v>
      </c>
      <c r="E278" s="10" t="s">
        <v>19</v>
      </c>
      <c r="F278" s="6" t="s">
        <v>9</v>
      </c>
      <c r="G278" s="8">
        <v>73.8</v>
      </c>
      <c r="H278" s="6"/>
    </row>
    <row r="279" spans="1:8">
      <c r="A279" s="5">
        <v>40</v>
      </c>
      <c r="B279" s="6" t="str">
        <f>"王丹丹"</f>
        <v>王丹丹</v>
      </c>
      <c r="C279" s="6" t="str">
        <f>"女"</f>
        <v>女</v>
      </c>
      <c r="D279" s="6" t="str">
        <f>"202111021313"</f>
        <v>202111021313</v>
      </c>
      <c r="E279" s="10" t="s">
        <v>19</v>
      </c>
      <c r="F279" s="6" t="s">
        <v>9</v>
      </c>
      <c r="G279" s="8">
        <v>69.599999999999994</v>
      </c>
      <c r="H279" s="6"/>
    </row>
    <row r="280" spans="1:8">
      <c r="A280" s="5">
        <v>119</v>
      </c>
      <c r="B280" s="6" t="str">
        <f>"杨海波"</f>
        <v>杨海波</v>
      </c>
      <c r="C280" s="6" t="str">
        <f>"女"</f>
        <v>女</v>
      </c>
      <c r="D280" s="6" t="str">
        <f>"202111021314"</f>
        <v>202111021314</v>
      </c>
      <c r="E280" s="10" t="s">
        <v>19</v>
      </c>
      <c r="F280" s="6" t="s">
        <v>9</v>
      </c>
      <c r="G280" s="8">
        <v>70.95</v>
      </c>
      <c r="H280" s="6"/>
    </row>
    <row r="281" spans="1:8">
      <c r="A281" s="5">
        <v>66</v>
      </c>
      <c r="B281" s="6" t="str">
        <f>"丁超"</f>
        <v>丁超</v>
      </c>
      <c r="C281" s="6" t="str">
        <f>"男"</f>
        <v>男</v>
      </c>
      <c r="D281" s="6" t="str">
        <f>"202111021315"</f>
        <v>202111021315</v>
      </c>
      <c r="E281" s="10" t="s">
        <v>19</v>
      </c>
      <c r="F281" s="6" t="s">
        <v>9</v>
      </c>
      <c r="G281" s="8">
        <v>57.9</v>
      </c>
      <c r="H281" s="6"/>
    </row>
    <row r="282" spans="1:8">
      <c r="A282" s="5">
        <v>86</v>
      </c>
      <c r="B282" s="6" t="str">
        <f>"张群"</f>
        <v>张群</v>
      </c>
      <c r="C282" s="6" t="str">
        <f t="shared" ref="C282:C292" si="12">"女"</f>
        <v>女</v>
      </c>
      <c r="D282" s="6" t="str">
        <f>"202111021316"</f>
        <v>202111021316</v>
      </c>
      <c r="E282" s="10" t="s">
        <v>19</v>
      </c>
      <c r="F282" s="6" t="s">
        <v>9</v>
      </c>
      <c r="G282" s="8">
        <v>72</v>
      </c>
      <c r="H282" s="6"/>
    </row>
    <row r="283" spans="1:8">
      <c r="A283" s="5">
        <v>56</v>
      </c>
      <c r="B283" s="6" t="str">
        <f>"杨彩明"</f>
        <v>杨彩明</v>
      </c>
      <c r="C283" s="6" t="str">
        <f t="shared" si="12"/>
        <v>女</v>
      </c>
      <c r="D283" s="6" t="str">
        <f>"202111021317"</f>
        <v>202111021317</v>
      </c>
      <c r="E283" s="10" t="s">
        <v>19</v>
      </c>
      <c r="F283" s="6" t="s">
        <v>9</v>
      </c>
      <c r="G283" s="8">
        <v>66.55</v>
      </c>
      <c r="H283" s="6"/>
    </row>
    <row r="284" spans="1:8">
      <c r="A284" s="5">
        <v>57</v>
      </c>
      <c r="B284" s="6" t="str">
        <f>"刘花"</f>
        <v>刘花</v>
      </c>
      <c r="C284" s="6" t="str">
        <f t="shared" si="12"/>
        <v>女</v>
      </c>
      <c r="D284" s="6" t="str">
        <f>"202111021318"</f>
        <v>202111021318</v>
      </c>
      <c r="E284" s="10" t="s">
        <v>19</v>
      </c>
      <c r="F284" s="6" t="s">
        <v>9</v>
      </c>
      <c r="G284" s="8">
        <v>63.25</v>
      </c>
      <c r="H284" s="6"/>
    </row>
    <row r="285" spans="1:8">
      <c r="A285" s="5">
        <v>55</v>
      </c>
      <c r="B285" s="6" t="str">
        <f>"肖笑笑"</f>
        <v>肖笑笑</v>
      </c>
      <c r="C285" s="6" t="str">
        <f t="shared" si="12"/>
        <v>女</v>
      </c>
      <c r="D285" s="6" t="str">
        <f>"202111021319"</f>
        <v>202111021319</v>
      </c>
      <c r="E285" s="10" t="s">
        <v>19</v>
      </c>
      <c r="F285" s="6" t="s">
        <v>9</v>
      </c>
      <c r="G285" s="8">
        <v>63.05</v>
      </c>
      <c r="H285" s="6"/>
    </row>
    <row r="286" spans="1:8">
      <c r="A286" s="5">
        <v>34</v>
      </c>
      <c r="B286" s="6" t="str">
        <f>"马阿香"</f>
        <v>马阿香</v>
      </c>
      <c r="C286" s="6" t="str">
        <f t="shared" si="12"/>
        <v>女</v>
      </c>
      <c r="D286" s="6" t="str">
        <f>"202111021320"</f>
        <v>202111021320</v>
      </c>
      <c r="E286" s="10" t="s">
        <v>19</v>
      </c>
      <c r="F286" s="6" t="s">
        <v>9</v>
      </c>
      <c r="G286" s="8">
        <v>78.650000000000006</v>
      </c>
      <c r="H286" s="6"/>
    </row>
    <row r="287" spans="1:8">
      <c r="A287" s="5">
        <v>89</v>
      </c>
      <c r="B287" s="6" t="str">
        <f>"李芳"</f>
        <v>李芳</v>
      </c>
      <c r="C287" s="6" t="str">
        <f t="shared" si="12"/>
        <v>女</v>
      </c>
      <c r="D287" s="6" t="str">
        <f>"202111021321"</f>
        <v>202111021321</v>
      </c>
      <c r="E287" s="10" t="s">
        <v>19</v>
      </c>
      <c r="F287" s="6" t="s">
        <v>9</v>
      </c>
      <c r="G287" s="8">
        <v>0</v>
      </c>
      <c r="H287" s="9">
        <v>1</v>
      </c>
    </row>
    <row r="288" spans="1:8">
      <c r="A288" s="5">
        <v>90</v>
      </c>
      <c r="B288" s="6" t="str">
        <f>"王芳"</f>
        <v>王芳</v>
      </c>
      <c r="C288" s="6" t="str">
        <f t="shared" si="12"/>
        <v>女</v>
      </c>
      <c r="D288" s="6" t="str">
        <f>"202111021322"</f>
        <v>202111021322</v>
      </c>
      <c r="E288" s="10" t="s">
        <v>19</v>
      </c>
      <c r="F288" s="6" t="s">
        <v>9</v>
      </c>
      <c r="G288" s="8">
        <v>71.5</v>
      </c>
      <c r="H288" s="6"/>
    </row>
    <row r="289" spans="1:8">
      <c r="A289" s="5">
        <v>94</v>
      </c>
      <c r="B289" s="6" t="str">
        <f>"唐静"</f>
        <v>唐静</v>
      </c>
      <c r="C289" s="6" t="str">
        <f t="shared" si="12"/>
        <v>女</v>
      </c>
      <c r="D289" s="6" t="str">
        <f>"202111021323"</f>
        <v>202111021323</v>
      </c>
      <c r="E289" s="10" t="s">
        <v>19</v>
      </c>
      <c r="F289" s="6" t="s">
        <v>9</v>
      </c>
      <c r="G289" s="8">
        <v>64.55</v>
      </c>
      <c r="H289" s="6"/>
    </row>
    <row r="290" spans="1:8">
      <c r="A290" s="5">
        <v>23</v>
      </c>
      <c r="B290" s="6" t="str">
        <f>"朱紫薇"</f>
        <v>朱紫薇</v>
      </c>
      <c r="C290" s="6" t="str">
        <f t="shared" si="12"/>
        <v>女</v>
      </c>
      <c r="D290" s="6" t="str">
        <f>"202111021324"</f>
        <v>202111021324</v>
      </c>
      <c r="E290" s="10" t="s">
        <v>19</v>
      </c>
      <c r="F290" s="6" t="s">
        <v>9</v>
      </c>
      <c r="G290" s="8">
        <v>0</v>
      </c>
      <c r="H290" s="9">
        <v>1</v>
      </c>
    </row>
    <row r="291" spans="1:8">
      <c r="A291" s="5">
        <v>101</v>
      </c>
      <c r="B291" s="6" t="str">
        <f>"陈敏"</f>
        <v>陈敏</v>
      </c>
      <c r="C291" s="6" t="str">
        <f t="shared" si="12"/>
        <v>女</v>
      </c>
      <c r="D291" s="6" t="str">
        <f>"202111021325"</f>
        <v>202111021325</v>
      </c>
      <c r="E291" s="10" t="s">
        <v>19</v>
      </c>
      <c r="F291" s="6" t="s">
        <v>9</v>
      </c>
      <c r="G291" s="8">
        <v>67.95</v>
      </c>
      <c r="H291" s="6"/>
    </row>
    <row r="292" spans="1:8">
      <c r="A292" s="5">
        <v>65</v>
      </c>
      <c r="B292" s="6" t="str">
        <f>"龙卫红"</f>
        <v>龙卫红</v>
      </c>
      <c r="C292" s="6" t="str">
        <f t="shared" si="12"/>
        <v>女</v>
      </c>
      <c r="D292" s="6" t="str">
        <f>"202111021326"</f>
        <v>202111021326</v>
      </c>
      <c r="E292" s="10" t="s">
        <v>19</v>
      </c>
      <c r="F292" s="6" t="s">
        <v>9</v>
      </c>
      <c r="G292" s="8">
        <v>72</v>
      </c>
      <c r="H292" s="6"/>
    </row>
    <row r="293" spans="1:8">
      <c r="A293" s="5">
        <v>21</v>
      </c>
      <c r="B293" s="6" t="str">
        <f>"杜明建"</f>
        <v>杜明建</v>
      </c>
      <c r="C293" s="6" t="str">
        <f>"男"</f>
        <v>男</v>
      </c>
      <c r="D293" s="6" t="str">
        <f>"202111021327"</f>
        <v>202111021327</v>
      </c>
      <c r="E293" s="10" t="s">
        <v>19</v>
      </c>
      <c r="F293" s="6" t="s">
        <v>9</v>
      </c>
      <c r="G293" s="8">
        <v>0</v>
      </c>
      <c r="H293" s="9">
        <v>1</v>
      </c>
    </row>
    <row r="294" spans="1:8">
      <c r="A294" s="5">
        <v>41</v>
      </c>
      <c r="B294" s="6" t="str">
        <f>"李丽蓉"</f>
        <v>李丽蓉</v>
      </c>
      <c r="C294" s="6" t="str">
        <f>"女"</f>
        <v>女</v>
      </c>
      <c r="D294" s="6" t="str">
        <f>"202111021328"</f>
        <v>202111021328</v>
      </c>
      <c r="E294" s="10" t="s">
        <v>19</v>
      </c>
      <c r="F294" s="6" t="s">
        <v>9</v>
      </c>
      <c r="G294" s="8">
        <v>65.55</v>
      </c>
      <c r="H294" s="6"/>
    </row>
    <row r="295" spans="1:8">
      <c r="A295" s="5">
        <v>48</v>
      </c>
      <c r="B295" s="6" t="str">
        <f>"谢书生"</f>
        <v>谢书生</v>
      </c>
      <c r="C295" s="6" t="str">
        <f>"男"</f>
        <v>男</v>
      </c>
      <c r="D295" s="6" t="str">
        <f>"202111021329"</f>
        <v>202111021329</v>
      </c>
      <c r="E295" s="10" t="s">
        <v>19</v>
      </c>
      <c r="F295" s="6" t="s">
        <v>9</v>
      </c>
      <c r="G295" s="8">
        <v>69.7</v>
      </c>
      <c r="H295" s="6"/>
    </row>
    <row r="296" spans="1:8">
      <c r="A296" s="5">
        <v>79</v>
      </c>
      <c r="B296" s="6" t="str">
        <f>"曾芊茹"</f>
        <v>曾芊茹</v>
      </c>
      <c r="C296" s="6" t="str">
        <f t="shared" ref="C296:C302" si="13">"女"</f>
        <v>女</v>
      </c>
      <c r="D296" s="6" t="str">
        <f>"202111021330"</f>
        <v>202111021330</v>
      </c>
      <c r="E296" s="10" t="s">
        <v>19</v>
      </c>
      <c r="F296" s="6" t="s">
        <v>9</v>
      </c>
      <c r="G296" s="8">
        <v>70.45</v>
      </c>
      <c r="H296" s="6"/>
    </row>
    <row r="297" spans="1:8">
      <c r="A297" s="5">
        <v>46</v>
      </c>
      <c r="B297" s="6" t="str">
        <f>"周敏"</f>
        <v>周敏</v>
      </c>
      <c r="C297" s="6" t="str">
        <f t="shared" si="13"/>
        <v>女</v>
      </c>
      <c r="D297" s="6" t="str">
        <f>"202111021401"</f>
        <v>202111021401</v>
      </c>
      <c r="E297" s="10" t="s">
        <v>19</v>
      </c>
      <c r="F297" s="6" t="s">
        <v>9</v>
      </c>
      <c r="G297" s="8">
        <v>61.45</v>
      </c>
      <c r="H297" s="6"/>
    </row>
    <row r="298" spans="1:8">
      <c r="A298" s="5">
        <v>59</v>
      </c>
      <c r="B298" s="6" t="str">
        <f>"吴思瑶"</f>
        <v>吴思瑶</v>
      </c>
      <c r="C298" s="6" t="str">
        <f t="shared" si="13"/>
        <v>女</v>
      </c>
      <c r="D298" s="6" t="str">
        <f>"202111021402"</f>
        <v>202111021402</v>
      </c>
      <c r="E298" s="10" t="s">
        <v>19</v>
      </c>
      <c r="F298" s="6" t="s">
        <v>9</v>
      </c>
      <c r="G298" s="8">
        <v>63.5</v>
      </c>
      <c r="H298" s="6"/>
    </row>
    <row r="299" spans="1:8">
      <c r="A299" s="5">
        <v>52</v>
      </c>
      <c r="B299" s="6" t="str">
        <f>"廖丹丹"</f>
        <v>廖丹丹</v>
      </c>
      <c r="C299" s="6" t="str">
        <f t="shared" si="13"/>
        <v>女</v>
      </c>
      <c r="D299" s="6" t="str">
        <f>"202111021403"</f>
        <v>202111021403</v>
      </c>
      <c r="E299" s="10" t="s">
        <v>19</v>
      </c>
      <c r="F299" s="6" t="s">
        <v>9</v>
      </c>
      <c r="G299" s="8">
        <v>65.150000000000006</v>
      </c>
      <c r="H299" s="6"/>
    </row>
    <row r="300" spans="1:8">
      <c r="A300" s="5">
        <v>111</v>
      </c>
      <c r="B300" s="6" t="str">
        <f>"危姣林"</f>
        <v>危姣林</v>
      </c>
      <c r="C300" s="6" t="str">
        <f t="shared" si="13"/>
        <v>女</v>
      </c>
      <c r="D300" s="6" t="str">
        <f>"202111021404"</f>
        <v>202111021404</v>
      </c>
      <c r="E300" s="10" t="s">
        <v>19</v>
      </c>
      <c r="F300" s="6" t="s">
        <v>9</v>
      </c>
      <c r="G300" s="8">
        <v>0</v>
      </c>
      <c r="H300" s="9">
        <v>1</v>
      </c>
    </row>
    <row r="301" spans="1:8">
      <c r="A301" s="5">
        <v>87</v>
      </c>
      <c r="B301" s="6" t="str">
        <f>"兰加慧"</f>
        <v>兰加慧</v>
      </c>
      <c r="C301" s="6" t="str">
        <f t="shared" si="13"/>
        <v>女</v>
      </c>
      <c r="D301" s="6" t="str">
        <f>"202111021405"</f>
        <v>202111021405</v>
      </c>
      <c r="E301" s="10" t="s">
        <v>19</v>
      </c>
      <c r="F301" s="6" t="s">
        <v>9</v>
      </c>
      <c r="G301" s="8">
        <v>63.4</v>
      </c>
      <c r="H301" s="6"/>
    </row>
    <row r="302" spans="1:8">
      <c r="A302" s="5">
        <v>64</v>
      </c>
      <c r="B302" s="6" t="str">
        <f>"李昱萱"</f>
        <v>李昱萱</v>
      </c>
      <c r="C302" s="6" t="str">
        <f t="shared" si="13"/>
        <v>女</v>
      </c>
      <c r="D302" s="6" t="str">
        <f>"202111021406"</f>
        <v>202111021406</v>
      </c>
      <c r="E302" s="10" t="s">
        <v>19</v>
      </c>
      <c r="F302" s="6" t="s">
        <v>9</v>
      </c>
      <c r="G302" s="8">
        <v>66</v>
      </c>
      <c r="H302" s="6"/>
    </row>
    <row r="303" spans="1:8">
      <c r="A303" s="5">
        <v>117</v>
      </c>
      <c r="B303" s="6" t="str">
        <f>"吕文"</f>
        <v>吕文</v>
      </c>
      <c r="C303" s="6" t="str">
        <f>"男"</f>
        <v>男</v>
      </c>
      <c r="D303" s="6" t="str">
        <f>"202111021407"</f>
        <v>202111021407</v>
      </c>
      <c r="E303" s="10" t="s">
        <v>19</v>
      </c>
      <c r="F303" s="6" t="s">
        <v>9</v>
      </c>
      <c r="G303" s="8">
        <v>66.599999999999994</v>
      </c>
      <c r="H303" s="6"/>
    </row>
    <row r="304" spans="1:8">
      <c r="A304" s="5">
        <v>38</v>
      </c>
      <c r="B304" s="6" t="str">
        <f>"邓璐"</f>
        <v>邓璐</v>
      </c>
      <c r="C304" s="6" t="str">
        <f t="shared" ref="C304:C318" si="14">"女"</f>
        <v>女</v>
      </c>
      <c r="D304" s="6" t="str">
        <f>"202111021408"</f>
        <v>202111021408</v>
      </c>
      <c r="E304" s="10" t="s">
        <v>19</v>
      </c>
      <c r="F304" s="6" t="s">
        <v>9</v>
      </c>
      <c r="G304" s="8">
        <v>65.8</v>
      </c>
      <c r="H304" s="6"/>
    </row>
    <row r="305" spans="1:8">
      <c r="A305" s="5">
        <v>120</v>
      </c>
      <c r="B305" s="6" t="str">
        <f>"殷飞凤"</f>
        <v>殷飞凤</v>
      </c>
      <c r="C305" s="6" t="str">
        <f t="shared" si="14"/>
        <v>女</v>
      </c>
      <c r="D305" s="6" t="str">
        <f>"202111021409"</f>
        <v>202111021409</v>
      </c>
      <c r="E305" s="10" t="s">
        <v>19</v>
      </c>
      <c r="F305" s="6" t="s">
        <v>9</v>
      </c>
      <c r="G305" s="8">
        <v>66.8</v>
      </c>
      <c r="H305" s="6"/>
    </row>
    <row r="306" spans="1:8">
      <c r="A306" s="5">
        <v>76</v>
      </c>
      <c r="B306" s="6" t="str">
        <f>"张霖"</f>
        <v>张霖</v>
      </c>
      <c r="C306" s="6" t="str">
        <f t="shared" si="14"/>
        <v>女</v>
      </c>
      <c r="D306" s="6" t="str">
        <f>"202111021410"</f>
        <v>202111021410</v>
      </c>
      <c r="E306" s="10" t="s">
        <v>19</v>
      </c>
      <c r="F306" s="6" t="s">
        <v>9</v>
      </c>
      <c r="G306" s="8">
        <v>72.8</v>
      </c>
      <c r="H306" s="6"/>
    </row>
    <row r="307" spans="1:8">
      <c r="A307" s="5">
        <v>42</v>
      </c>
      <c r="B307" s="6" t="str">
        <f>"唐敏洁"</f>
        <v>唐敏洁</v>
      </c>
      <c r="C307" s="6" t="str">
        <f t="shared" si="14"/>
        <v>女</v>
      </c>
      <c r="D307" s="6" t="str">
        <f>"202111021411"</f>
        <v>202111021411</v>
      </c>
      <c r="E307" s="10" t="s">
        <v>19</v>
      </c>
      <c r="F307" s="6" t="s">
        <v>9</v>
      </c>
      <c r="G307" s="8">
        <v>69.7</v>
      </c>
      <c r="H307" s="6"/>
    </row>
    <row r="308" spans="1:8">
      <c r="A308" s="5">
        <v>37</v>
      </c>
      <c r="B308" s="6" t="str">
        <f>"李玉瑶"</f>
        <v>李玉瑶</v>
      </c>
      <c r="C308" s="6" t="str">
        <f t="shared" si="14"/>
        <v>女</v>
      </c>
      <c r="D308" s="6" t="str">
        <f>"202111021412"</f>
        <v>202111021412</v>
      </c>
      <c r="E308" s="10" t="s">
        <v>19</v>
      </c>
      <c r="F308" s="6" t="s">
        <v>9</v>
      </c>
      <c r="G308" s="8">
        <v>73.25</v>
      </c>
      <c r="H308" s="6"/>
    </row>
    <row r="309" spans="1:8">
      <c r="A309" s="5">
        <v>75</v>
      </c>
      <c r="B309" s="6" t="str">
        <f>"张杨婧"</f>
        <v>张杨婧</v>
      </c>
      <c r="C309" s="6" t="str">
        <f t="shared" si="14"/>
        <v>女</v>
      </c>
      <c r="D309" s="6" t="str">
        <f>"202111021413"</f>
        <v>202111021413</v>
      </c>
      <c r="E309" s="10" t="s">
        <v>19</v>
      </c>
      <c r="F309" s="6" t="s">
        <v>9</v>
      </c>
      <c r="G309" s="8">
        <v>0</v>
      </c>
      <c r="H309" s="9">
        <v>1</v>
      </c>
    </row>
    <row r="310" spans="1:8">
      <c r="A310" s="5">
        <v>105</v>
      </c>
      <c r="B310" s="6" t="str">
        <f>"姜嘉敏"</f>
        <v>姜嘉敏</v>
      </c>
      <c r="C310" s="6" t="str">
        <f t="shared" si="14"/>
        <v>女</v>
      </c>
      <c r="D310" s="6" t="str">
        <f>"202111021414"</f>
        <v>202111021414</v>
      </c>
      <c r="E310" s="10" t="s">
        <v>19</v>
      </c>
      <c r="F310" s="6" t="s">
        <v>9</v>
      </c>
      <c r="G310" s="8">
        <v>68.8</v>
      </c>
      <c r="H310" s="6"/>
    </row>
    <row r="311" spans="1:8">
      <c r="A311" s="5">
        <v>50</v>
      </c>
      <c r="B311" s="6" t="str">
        <f>"曾子芙"</f>
        <v>曾子芙</v>
      </c>
      <c r="C311" s="6" t="str">
        <f t="shared" si="14"/>
        <v>女</v>
      </c>
      <c r="D311" s="6" t="str">
        <f>"202111021415"</f>
        <v>202111021415</v>
      </c>
      <c r="E311" s="10" t="s">
        <v>19</v>
      </c>
      <c r="F311" s="6" t="s">
        <v>9</v>
      </c>
      <c r="G311" s="8">
        <v>61.75</v>
      </c>
      <c r="H311" s="6"/>
    </row>
    <row r="312" spans="1:8">
      <c r="A312" s="5">
        <v>85</v>
      </c>
      <c r="B312" s="6" t="str">
        <f>"刘艳梅"</f>
        <v>刘艳梅</v>
      </c>
      <c r="C312" s="6" t="str">
        <f t="shared" si="14"/>
        <v>女</v>
      </c>
      <c r="D312" s="6" t="str">
        <f>"202111021416"</f>
        <v>202111021416</v>
      </c>
      <c r="E312" s="10" t="s">
        <v>19</v>
      </c>
      <c r="F312" s="6" t="s">
        <v>9</v>
      </c>
      <c r="G312" s="8">
        <v>64.849999999999994</v>
      </c>
      <c r="H312" s="6"/>
    </row>
    <row r="313" spans="1:8">
      <c r="A313" s="5">
        <v>114</v>
      </c>
      <c r="B313" s="6" t="str">
        <f>"许文雯"</f>
        <v>许文雯</v>
      </c>
      <c r="C313" s="6" t="str">
        <f t="shared" si="14"/>
        <v>女</v>
      </c>
      <c r="D313" s="6" t="str">
        <f>"202111021417"</f>
        <v>202111021417</v>
      </c>
      <c r="E313" s="10" t="s">
        <v>19</v>
      </c>
      <c r="F313" s="6" t="s">
        <v>9</v>
      </c>
      <c r="G313" s="8">
        <v>66.7</v>
      </c>
      <c r="H313" s="6"/>
    </row>
    <row r="314" spans="1:8">
      <c r="A314" s="5">
        <v>19</v>
      </c>
      <c r="B314" s="6" t="str">
        <f>"王佑莹"</f>
        <v>王佑莹</v>
      </c>
      <c r="C314" s="6" t="str">
        <f t="shared" si="14"/>
        <v>女</v>
      </c>
      <c r="D314" s="6" t="str">
        <f>"202111021418"</f>
        <v>202111021418</v>
      </c>
      <c r="E314" s="10" t="s">
        <v>19</v>
      </c>
      <c r="F314" s="6" t="s">
        <v>9</v>
      </c>
      <c r="G314" s="8">
        <v>0</v>
      </c>
      <c r="H314" s="9">
        <v>1</v>
      </c>
    </row>
    <row r="315" spans="1:8">
      <c r="A315" s="5">
        <v>92</v>
      </c>
      <c r="B315" s="6" t="str">
        <f>"刘义华"</f>
        <v>刘义华</v>
      </c>
      <c r="C315" s="6" t="str">
        <f t="shared" si="14"/>
        <v>女</v>
      </c>
      <c r="D315" s="6" t="str">
        <f>"202111021419"</f>
        <v>202111021419</v>
      </c>
      <c r="E315" s="10" t="s">
        <v>19</v>
      </c>
      <c r="F315" s="6" t="s">
        <v>9</v>
      </c>
      <c r="G315" s="8">
        <v>60.75</v>
      </c>
      <c r="H315" s="6"/>
    </row>
    <row r="316" spans="1:8">
      <c r="A316" s="5">
        <v>77</v>
      </c>
      <c r="B316" s="6" t="str">
        <f>"杨远凡"</f>
        <v>杨远凡</v>
      </c>
      <c r="C316" s="6" t="str">
        <f t="shared" si="14"/>
        <v>女</v>
      </c>
      <c r="D316" s="6" t="str">
        <f>"202111021420"</f>
        <v>202111021420</v>
      </c>
      <c r="E316" s="10" t="s">
        <v>19</v>
      </c>
      <c r="F316" s="6" t="s">
        <v>9</v>
      </c>
      <c r="G316" s="8">
        <v>0</v>
      </c>
      <c r="H316" s="9">
        <v>1</v>
      </c>
    </row>
    <row r="317" spans="1:8">
      <c r="A317" s="5">
        <v>47</v>
      </c>
      <c r="B317" s="6" t="str">
        <f>"谢红梅"</f>
        <v>谢红梅</v>
      </c>
      <c r="C317" s="6" t="str">
        <f t="shared" si="14"/>
        <v>女</v>
      </c>
      <c r="D317" s="6" t="str">
        <f>"202111021421"</f>
        <v>202111021421</v>
      </c>
      <c r="E317" s="10" t="s">
        <v>19</v>
      </c>
      <c r="F317" s="6" t="s">
        <v>9</v>
      </c>
      <c r="G317" s="8">
        <v>62.85</v>
      </c>
      <c r="H317" s="6"/>
    </row>
    <row r="318" spans="1:8">
      <c r="A318" s="5">
        <v>96</v>
      </c>
      <c r="B318" s="6" t="str">
        <f>"王君"</f>
        <v>王君</v>
      </c>
      <c r="C318" s="6" t="str">
        <f t="shared" si="14"/>
        <v>女</v>
      </c>
      <c r="D318" s="6" t="str">
        <f>"202111021422"</f>
        <v>202111021422</v>
      </c>
      <c r="E318" s="10" t="s">
        <v>19</v>
      </c>
      <c r="F318" s="6" t="s">
        <v>9</v>
      </c>
      <c r="G318" s="8">
        <v>70.5</v>
      </c>
      <c r="H318" s="6"/>
    </row>
    <row r="319" spans="1:8">
      <c r="A319" s="5">
        <v>148</v>
      </c>
      <c r="B319" s="6" t="str">
        <f>"粟小龙"</f>
        <v>粟小龙</v>
      </c>
      <c r="C319" s="6" t="str">
        <f>"男"</f>
        <v>男</v>
      </c>
      <c r="D319" s="6" t="str">
        <f>"202112034201"</f>
        <v>202112034201</v>
      </c>
      <c r="E319" s="10" t="s">
        <v>19</v>
      </c>
      <c r="F319" s="6" t="s">
        <v>12</v>
      </c>
      <c r="G319" s="8">
        <v>62.65</v>
      </c>
      <c r="H319" s="6"/>
    </row>
    <row r="320" spans="1:8">
      <c r="A320" s="5">
        <v>143</v>
      </c>
      <c r="B320" s="6" t="str">
        <f>"刘玥琦"</f>
        <v>刘玥琦</v>
      </c>
      <c r="C320" s="6" t="str">
        <f>"男"</f>
        <v>男</v>
      </c>
      <c r="D320" s="6" t="str">
        <f>"202112034202"</f>
        <v>202112034202</v>
      </c>
      <c r="E320" s="10" t="s">
        <v>19</v>
      </c>
      <c r="F320" s="6" t="s">
        <v>12</v>
      </c>
      <c r="G320" s="8">
        <v>66.3</v>
      </c>
      <c r="H320" s="6"/>
    </row>
    <row r="321" spans="1:8">
      <c r="A321" s="5">
        <v>128</v>
      </c>
      <c r="B321" s="6" t="str">
        <f>"张旭林"</f>
        <v>张旭林</v>
      </c>
      <c r="C321" s="6" t="str">
        <f>"男"</f>
        <v>男</v>
      </c>
      <c r="D321" s="6" t="str">
        <f>"202112034203"</f>
        <v>202112034203</v>
      </c>
      <c r="E321" s="10" t="s">
        <v>19</v>
      </c>
      <c r="F321" s="6" t="s">
        <v>12</v>
      </c>
      <c r="G321" s="8">
        <v>0</v>
      </c>
      <c r="H321" s="9">
        <v>1</v>
      </c>
    </row>
    <row r="322" spans="1:8">
      <c r="A322" s="5">
        <v>132</v>
      </c>
      <c r="B322" s="6" t="str">
        <f>"赵鑫"</f>
        <v>赵鑫</v>
      </c>
      <c r="C322" s="6" t="str">
        <f t="shared" ref="C322:C328" si="15">"女"</f>
        <v>女</v>
      </c>
      <c r="D322" s="6" t="str">
        <f>"202112034204"</f>
        <v>202112034204</v>
      </c>
      <c r="E322" s="10" t="s">
        <v>19</v>
      </c>
      <c r="F322" s="6" t="s">
        <v>12</v>
      </c>
      <c r="G322" s="8">
        <v>58.9</v>
      </c>
      <c r="H322" s="6"/>
    </row>
    <row r="323" spans="1:8">
      <c r="A323" s="5">
        <v>140</v>
      </c>
      <c r="B323" s="6" t="str">
        <f>"陆扬君"</f>
        <v>陆扬君</v>
      </c>
      <c r="C323" s="6" t="str">
        <f t="shared" si="15"/>
        <v>女</v>
      </c>
      <c r="D323" s="6" t="str">
        <f>"202112034205"</f>
        <v>202112034205</v>
      </c>
      <c r="E323" s="10" t="s">
        <v>19</v>
      </c>
      <c r="F323" s="6" t="s">
        <v>12</v>
      </c>
      <c r="G323" s="8">
        <v>0</v>
      </c>
      <c r="H323" s="9">
        <v>1</v>
      </c>
    </row>
    <row r="324" spans="1:8">
      <c r="A324" s="5">
        <v>123</v>
      </c>
      <c r="B324" s="6" t="str">
        <f>"刘红辉"</f>
        <v>刘红辉</v>
      </c>
      <c r="C324" s="6" t="str">
        <f t="shared" si="15"/>
        <v>女</v>
      </c>
      <c r="D324" s="6" t="str">
        <f>"202112034206"</f>
        <v>202112034206</v>
      </c>
      <c r="E324" s="10" t="s">
        <v>19</v>
      </c>
      <c r="F324" s="6" t="s">
        <v>12</v>
      </c>
      <c r="G324" s="8">
        <v>52.6</v>
      </c>
      <c r="H324" s="6"/>
    </row>
    <row r="325" spans="1:8">
      <c r="A325" s="5">
        <v>124</v>
      </c>
      <c r="B325" s="6" t="str">
        <f>"肖瑶"</f>
        <v>肖瑶</v>
      </c>
      <c r="C325" s="6" t="str">
        <f t="shared" si="15"/>
        <v>女</v>
      </c>
      <c r="D325" s="6" t="str">
        <f>"202112034207"</f>
        <v>202112034207</v>
      </c>
      <c r="E325" s="10" t="s">
        <v>19</v>
      </c>
      <c r="F325" s="6" t="s">
        <v>12</v>
      </c>
      <c r="G325" s="8">
        <v>67.05</v>
      </c>
      <c r="H325" s="6"/>
    </row>
    <row r="326" spans="1:8">
      <c r="A326" s="5">
        <v>136</v>
      </c>
      <c r="B326" s="6" t="str">
        <f>"唐婷"</f>
        <v>唐婷</v>
      </c>
      <c r="C326" s="6" t="str">
        <f t="shared" si="15"/>
        <v>女</v>
      </c>
      <c r="D326" s="6" t="str">
        <f>"202112034208"</f>
        <v>202112034208</v>
      </c>
      <c r="E326" s="10" t="s">
        <v>19</v>
      </c>
      <c r="F326" s="6" t="s">
        <v>12</v>
      </c>
      <c r="G326" s="8">
        <v>67</v>
      </c>
      <c r="H326" s="6"/>
    </row>
    <row r="327" spans="1:8">
      <c r="A327" s="5">
        <v>142</v>
      </c>
      <c r="B327" s="6" t="str">
        <f>"姜婷"</f>
        <v>姜婷</v>
      </c>
      <c r="C327" s="6" t="str">
        <f t="shared" si="15"/>
        <v>女</v>
      </c>
      <c r="D327" s="6" t="str">
        <f>"202112034209"</f>
        <v>202112034209</v>
      </c>
      <c r="E327" s="10" t="s">
        <v>19</v>
      </c>
      <c r="F327" s="6" t="s">
        <v>12</v>
      </c>
      <c r="G327" s="8">
        <v>71.900000000000006</v>
      </c>
      <c r="H327" s="6"/>
    </row>
    <row r="328" spans="1:8">
      <c r="A328" s="5">
        <v>151</v>
      </c>
      <c r="B328" s="6" t="str">
        <f>"罗菁"</f>
        <v>罗菁</v>
      </c>
      <c r="C328" s="6" t="str">
        <f t="shared" si="15"/>
        <v>女</v>
      </c>
      <c r="D328" s="6" t="str">
        <f>"202112034210"</f>
        <v>202112034210</v>
      </c>
      <c r="E328" s="10" t="s">
        <v>19</v>
      </c>
      <c r="F328" s="6" t="s">
        <v>12</v>
      </c>
      <c r="G328" s="8">
        <v>56.1</v>
      </c>
      <c r="H328" s="6"/>
    </row>
    <row r="329" spans="1:8">
      <c r="A329" s="5">
        <v>146</v>
      </c>
      <c r="B329" s="6" t="str">
        <f>"徐鹏程"</f>
        <v>徐鹏程</v>
      </c>
      <c r="C329" s="6" t="str">
        <f>"男"</f>
        <v>男</v>
      </c>
      <c r="D329" s="6" t="str">
        <f>"202112034211"</f>
        <v>202112034211</v>
      </c>
      <c r="E329" s="10" t="s">
        <v>19</v>
      </c>
      <c r="F329" s="6" t="s">
        <v>12</v>
      </c>
      <c r="G329" s="8">
        <v>56.25</v>
      </c>
      <c r="H329" s="6"/>
    </row>
    <row r="330" spans="1:8">
      <c r="A330" s="5">
        <v>137</v>
      </c>
      <c r="B330" s="6" t="str">
        <f>"刘婷"</f>
        <v>刘婷</v>
      </c>
      <c r="C330" s="6" t="str">
        <f>"女"</f>
        <v>女</v>
      </c>
      <c r="D330" s="6" t="str">
        <f>"202112034212"</f>
        <v>202112034212</v>
      </c>
      <c r="E330" s="10" t="s">
        <v>19</v>
      </c>
      <c r="F330" s="6" t="s">
        <v>12</v>
      </c>
      <c r="G330" s="8">
        <v>66.2</v>
      </c>
      <c r="H330" s="6"/>
    </row>
    <row r="331" spans="1:8">
      <c r="A331" s="5">
        <v>131</v>
      </c>
      <c r="B331" s="6" t="str">
        <f>"龙屿"</f>
        <v>龙屿</v>
      </c>
      <c r="C331" s="6" t="str">
        <f>"女"</f>
        <v>女</v>
      </c>
      <c r="D331" s="6" t="str">
        <f>"202112034213"</f>
        <v>202112034213</v>
      </c>
      <c r="E331" s="10" t="s">
        <v>19</v>
      </c>
      <c r="F331" s="6" t="s">
        <v>12</v>
      </c>
      <c r="G331" s="8">
        <v>57.05</v>
      </c>
      <c r="H331" s="6"/>
    </row>
    <row r="332" spans="1:8">
      <c r="A332" s="5">
        <v>122</v>
      </c>
      <c r="B332" s="6" t="str">
        <f>"刘岩"</f>
        <v>刘岩</v>
      </c>
      <c r="C332" s="6" t="str">
        <f>"男"</f>
        <v>男</v>
      </c>
      <c r="D332" s="6" t="str">
        <f>"202112034214"</f>
        <v>202112034214</v>
      </c>
      <c r="E332" s="10" t="s">
        <v>19</v>
      </c>
      <c r="F332" s="6" t="s">
        <v>12</v>
      </c>
      <c r="G332" s="8">
        <v>0</v>
      </c>
      <c r="H332" s="9">
        <v>1</v>
      </c>
    </row>
    <row r="333" spans="1:8">
      <c r="A333" s="5">
        <v>138</v>
      </c>
      <c r="B333" s="6" t="str">
        <f>"赵美玉"</f>
        <v>赵美玉</v>
      </c>
      <c r="C333" s="6" t="str">
        <f>"女"</f>
        <v>女</v>
      </c>
      <c r="D333" s="6" t="str">
        <f>"202112034215"</f>
        <v>202112034215</v>
      </c>
      <c r="E333" s="10" t="s">
        <v>19</v>
      </c>
      <c r="F333" s="6" t="s">
        <v>12</v>
      </c>
      <c r="G333" s="8">
        <v>0</v>
      </c>
      <c r="H333" s="9">
        <v>1</v>
      </c>
    </row>
    <row r="334" spans="1:8">
      <c r="A334" s="5">
        <v>127</v>
      </c>
      <c r="B334" s="6" t="str">
        <f>"谢玲海"</f>
        <v>谢玲海</v>
      </c>
      <c r="C334" s="6" t="str">
        <f>"男"</f>
        <v>男</v>
      </c>
      <c r="D334" s="6" t="str">
        <f>"202112034216"</f>
        <v>202112034216</v>
      </c>
      <c r="E334" s="10" t="s">
        <v>19</v>
      </c>
      <c r="F334" s="6" t="s">
        <v>12</v>
      </c>
      <c r="G334" s="8">
        <v>59.4</v>
      </c>
      <c r="H334" s="6"/>
    </row>
    <row r="335" spans="1:8">
      <c r="A335" s="5">
        <v>141</v>
      </c>
      <c r="B335" s="6" t="str">
        <f>"尹毅超"</f>
        <v>尹毅超</v>
      </c>
      <c r="C335" s="6" t="str">
        <f>"男"</f>
        <v>男</v>
      </c>
      <c r="D335" s="6" t="str">
        <f>"202112034217"</f>
        <v>202112034217</v>
      </c>
      <c r="E335" s="10" t="s">
        <v>19</v>
      </c>
      <c r="F335" s="6" t="s">
        <v>12</v>
      </c>
      <c r="G335" s="8">
        <v>80.150000000000006</v>
      </c>
      <c r="H335" s="6"/>
    </row>
    <row r="336" spans="1:8">
      <c r="A336" s="5">
        <v>130</v>
      </c>
      <c r="B336" s="6" t="str">
        <f>"唐思雄"</f>
        <v>唐思雄</v>
      </c>
      <c r="C336" s="6" t="str">
        <f t="shared" ref="C336:C343" si="16">"女"</f>
        <v>女</v>
      </c>
      <c r="D336" s="6" t="str">
        <f>"202112034218"</f>
        <v>202112034218</v>
      </c>
      <c r="E336" s="10" t="s">
        <v>19</v>
      </c>
      <c r="F336" s="6" t="s">
        <v>12</v>
      </c>
      <c r="G336" s="8">
        <v>59</v>
      </c>
      <c r="H336" s="6"/>
    </row>
    <row r="337" spans="1:8">
      <c r="A337" s="5">
        <v>129</v>
      </c>
      <c r="B337" s="6" t="str">
        <f>"罗婷"</f>
        <v>罗婷</v>
      </c>
      <c r="C337" s="6" t="str">
        <f t="shared" si="16"/>
        <v>女</v>
      </c>
      <c r="D337" s="6" t="str">
        <f>"202112034219"</f>
        <v>202112034219</v>
      </c>
      <c r="E337" s="10" t="s">
        <v>19</v>
      </c>
      <c r="F337" s="6" t="s">
        <v>12</v>
      </c>
      <c r="G337" s="8">
        <v>62.55</v>
      </c>
      <c r="H337" s="6"/>
    </row>
    <row r="338" spans="1:8">
      <c r="A338" s="5">
        <v>152</v>
      </c>
      <c r="B338" s="6" t="str">
        <f>"汤西林"</f>
        <v>汤西林</v>
      </c>
      <c r="C338" s="6" t="str">
        <f t="shared" si="16"/>
        <v>女</v>
      </c>
      <c r="D338" s="6" t="str">
        <f>"202112034220"</f>
        <v>202112034220</v>
      </c>
      <c r="E338" s="10" t="s">
        <v>19</v>
      </c>
      <c r="F338" s="6" t="s">
        <v>12</v>
      </c>
      <c r="G338" s="8">
        <v>64.3</v>
      </c>
      <c r="H338" s="6"/>
    </row>
    <row r="339" spans="1:8">
      <c r="A339" s="5">
        <v>135</v>
      </c>
      <c r="B339" s="6" t="str">
        <f>"陈敏"</f>
        <v>陈敏</v>
      </c>
      <c r="C339" s="6" t="str">
        <f t="shared" si="16"/>
        <v>女</v>
      </c>
      <c r="D339" s="6" t="str">
        <f>"202112034221"</f>
        <v>202112034221</v>
      </c>
      <c r="E339" s="10" t="s">
        <v>19</v>
      </c>
      <c r="F339" s="6" t="s">
        <v>12</v>
      </c>
      <c r="G339" s="8">
        <v>0</v>
      </c>
      <c r="H339" s="9">
        <v>1</v>
      </c>
    </row>
    <row r="340" spans="1:8">
      <c r="A340" s="5">
        <v>134</v>
      </c>
      <c r="B340" s="6" t="str">
        <f>"易嘉敏"</f>
        <v>易嘉敏</v>
      </c>
      <c r="C340" s="6" t="str">
        <f t="shared" si="16"/>
        <v>女</v>
      </c>
      <c r="D340" s="6" t="str">
        <f>"202112034222"</f>
        <v>202112034222</v>
      </c>
      <c r="E340" s="10" t="s">
        <v>19</v>
      </c>
      <c r="F340" s="6" t="s">
        <v>12</v>
      </c>
      <c r="G340" s="8">
        <v>79.45</v>
      </c>
      <c r="H340" s="6"/>
    </row>
    <row r="341" spans="1:8">
      <c r="A341" s="5">
        <v>133</v>
      </c>
      <c r="B341" s="6" t="str">
        <f>"邓洁"</f>
        <v>邓洁</v>
      </c>
      <c r="C341" s="6" t="str">
        <f t="shared" si="16"/>
        <v>女</v>
      </c>
      <c r="D341" s="6" t="str">
        <f>"202112034223"</f>
        <v>202112034223</v>
      </c>
      <c r="E341" s="10" t="s">
        <v>19</v>
      </c>
      <c r="F341" s="6" t="s">
        <v>12</v>
      </c>
      <c r="G341" s="8">
        <v>68.8</v>
      </c>
      <c r="H341" s="6"/>
    </row>
    <row r="342" spans="1:8">
      <c r="A342" s="5">
        <v>145</v>
      </c>
      <c r="B342" s="6" t="str">
        <f>"李晶"</f>
        <v>李晶</v>
      </c>
      <c r="C342" s="6" t="str">
        <f t="shared" si="16"/>
        <v>女</v>
      </c>
      <c r="D342" s="6" t="str">
        <f>"202112034224"</f>
        <v>202112034224</v>
      </c>
      <c r="E342" s="10" t="s">
        <v>19</v>
      </c>
      <c r="F342" s="6" t="s">
        <v>12</v>
      </c>
      <c r="G342" s="8">
        <v>76.849999999999994</v>
      </c>
      <c r="H342" s="6"/>
    </row>
    <row r="343" spans="1:8">
      <c r="A343" s="5">
        <v>125</v>
      </c>
      <c r="B343" s="6" t="str">
        <f>"曾雅璐"</f>
        <v>曾雅璐</v>
      </c>
      <c r="C343" s="6" t="str">
        <f t="shared" si="16"/>
        <v>女</v>
      </c>
      <c r="D343" s="6" t="str">
        <f>"202112034225"</f>
        <v>202112034225</v>
      </c>
      <c r="E343" s="10" t="s">
        <v>19</v>
      </c>
      <c r="F343" s="6" t="s">
        <v>12</v>
      </c>
      <c r="G343" s="8">
        <v>70.7</v>
      </c>
      <c r="H343" s="6"/>
    </row>
    <row r="344" spans="1:8">
      <c r="A344" s="5">
        <v>144</v>
      </c>
      <c r="B344" s="6" t="str">
        <f>"戴海滨"</f>
        <v>戴海滨</v>
      </c>
      <c r="C344" s="6" t="str">
        <f>"男"</f>
        <v>男</v>
      </c>
      <c r="D344" s="6" t="str">
        <f>"202112034226"</f>
        <v>202112034226</v>
      </c>
      <c r="E344" s="10" t="s">
        <v>19</v>
      </c>
      <c r="F344" s="6" t="s">
        <v>12</v>
      </c>
      <c r="G344" s="8">
        <v>0</v>
      </c>
      <c r="H344" s="9">
        <v>1</v>
      </c>
    </row>
    <row r="345" spans="1:8">
      <c r="A345" s="5">
        <v>150</v>
      </c>
      <c r="B345" s="6" t="str">
        <f>"林可颖"</f>
        <v>林可颖</v>
      </c>
      <c r="C345" s="6" t="str">
        <f t="shared" ref="C345:C353" si="17">"女"</f>
        <v>女</v>
      </c>
      <c r="D345" s="6" t="str">
        <f>"202112034227"</f>
        <v>202112034227</v>
      </c>
      <c r="E345" s="10" t="s">
        <v>19</v>
      </c>
      <c r="F345" s="6" t="s">
        <v>12</v>
      </c>
      <c r="G345" s="8">
        <v>64.349999999999994</v>
      </c>
      <c r="H345" s="6"/>
    </row>
    <row r="346" spans="1:8">
      <c r="A346" s="5">
        <v>153</v>
      </c>
      <c r="B346" s="6" t="str">
        <f>"梁珍"</f>
        <v>梁珍</v>
      </c>
      <c r="C346" s="6" t="str">
        <f t="shared" si="17"/>
        <v>女</v>
      </c>
      <c r="D346" s="6" t="str">
        <f>"202112034228"</f>
        <v>202112034228</v>
      </c>
      <c r="E346" s="10" t="s">
        <v>19</v>
      </c>
      <c r="F346" s="6" t="s">
        <v>12</v>
      </c>
      <c r="G346" s="8">
        <v>60.15</v>
      </c>
      <c r="H346" s="6"/>
    </row>
    <row r="347" spans="1:8">
      <c r="A347" s="5">
        <v>147</v>
      </c>
      <c r="B347" s="6" t="str">
        <f>"蒋庆"</f>
        <v>蒋庆</v>
      </c>
      <c r="C347" s="6" t="str">
        <f t="shared" si="17"/>
        <v>女</v>
      </c>
      <c r="D347" s="6" t="str">
        <f>"202112034229"</f>
        <v>202112034229</v>
      </c>
      <c r="E347" s="10" t="s">
        <v>19</v>
      </c>
      <c r="F347" s="6" t="s">
        <v>12</v>
      </c>
      <c r="G347" s="8">
        <v>67.599999999999994</v>
      </c>
      <c r="H347" s="6"/>
    </row>
    <row r="348" spans="1:8">
      <c r="A348" s="5">
        <v>149</v>
      </c>
      <c r="B348" s="6" t="str">
        <f>"刘婕婷"</f>
        <v>刘婕婷</v>
      </c>
      <c r="C348" s="6" t="str">
        <f t="shared" si="17"/>
        <v>女</v>
      </c>
      <c r="D348" s="6" t="str">
        <f>"202112034230"</f>
        <v>202112034230</v>
      </c>
      <c r="E348" s="10" t="s">
        <v>19</v>
      </c>
      <c r="F348" s="6" t="s">
        <v>12</v>
      </c>
      <c r="G348" s="8">
        <v>72.7</v>
      </c>
      <c r="H348" s="6"/>
    </row>
    <row r="349" spans="1:8">
      <c r="A349" s="5">
        <v>126</v>
      </c>
      <c r="B349" s="6" t="str">
        <f>"周静"</f>
        <v>周静</v>
      </c>
      <c r="C349" s="6" t="str">
        <f t="shared" si="17"/>
        <v>女</v>
      </c>
      <c r="D349" s="6" t="str">
        <f>"202112034301"</f>
        <v>202112034301</v>
      </c>
      <c r="E349" s="10" t="s">
        <v>19</v>
      </c>
      <c r="F349" s="6" t="s">
        <v>12</v>
      </c>
      <c r="G349" s="8">
        <v>67.5</v>
      </c>
      <c r="H349" s="6"/>
    </row>
    <row r="350" spans="1:8">
      <c r="A350" s="5">
        <v>139</v>
      </c>
      <c r="B350" s="6" t="str">
        <f>"曾依涛"</f>
        <v>曾依涛</v>
      </c>
      <c r="C350" s="6" t="str">
        <f t="shared" si="17"/>
        <v>女</v>
      </c>
      <c r="D350" s="6" t="str">
        <f>"202112034302"</f>
        <v>202112034302</v>
      </c>
      <c r="E350" s="10" t="s">
        <v>19</v>
      </c>
      <c r="F350" s="6" t="s">
        <v>12</v>
      </c>
      <c r="G350" s="8">
        <v>70.55</v>
      </c>
      <c r="H350" s="6"/>
    </row>
    <row r="351" spans="1:8">
      <c r="A351" s="5">
        <v>159</v>
      </c>
      <c r="B351" s="6" t="str">
        <f>"李银"</f>
        <v>李银</v>
      </c>
      <c r="C351" s="6" t="str">
        <f t="shared" si="17"/>
        <v>女</v>
      </c>
      <c r="D351" s="6" t="str">
        <f>"202113023101"</f>
        <v>202113023101</v>
      </c>
      <c r="E351" s="10" t="s">
        <v>19</v>
      </c>
      <c r="F351" s="6" t="s">
        <v>16</v>
      </c>
      <c r="G351" s="8">
        <v>68.25</v>
      </c>
      <c r="H351" s="6"/>
    </row>
    <row r="352" spans="1:8">
      <c r="A352" s="5">
        <v>168</v>
      </c>
      <c r="B352" s="6" t="str">
        <f>"曹静"</f>
        <v>曹静</v>
      </c>
      <c r="C352" s="6" t="str">
        <f t="shared" si="17"/>
        <v>女</v>
      </c>
      <c r="D352" s="6" t="str">
        <f>"202113023102"</f>
        <v>202113023102</v>
      </c>
      <c r="E352" s="10" t="s">
        <v>19</v>
      </c>
      <c r="F352" s="6" t="s">
        <v>16</v>
      </c>
      <c r="G352" s="8">
        <v>68.05</v>
      </c>
      <c r="H352" s="6"/>
    </row>
    <row r="353" spans="1:8">
      <c r="A353" s="5">
        <v>156</v>
      </c>
      <c r="B353" s="6" t="str">
        <f>"陈洁"</f>
        <v>陈洁</v>
      </c>
      <c r="C353" s="6" t="str">
        <f t="shared" si="17"/>
        <v>女</v>
      </c>
      <c r="D353" s="6" t="str">
        <f>"202113023103"</f>
        <v>202113023103</v>
      </c>
      <c r="E353" s="10" t="s">
        <v>19</v>
      </c>
      <c r="F353" s="6" t="s">
        <v>16</v>
      </c>
      <c r="G353" s="8">
        <v>0</v>
      </c>
      <c r="H353" s="9">
        <v>1</v>
      </c>
    </row>
    <row r="354" spans="1:8">
      <c r="A354" s="5">
        <v>157</v>
      </c>
      <c r="B354" s="6" t="str">
        <f>"陈柏林"</f>
        <v>陈柏林</v>
      </c>
      <c r="C354" s="6" t="str">
        <f>"男"</f>
        <v>男</v>
      </c>
      <c r="D354" s="6" t="str">
        <f>"202113023104"</f>
        <v>202113023104</v>
      </c>
      <c r="E354" s="10" t="s">
        <v>19</v>
      </c>
      <c r="F354" s="6" t="s">
        <v>16</v>
      </c>
      <c r="G354" s="8">
        <v>72.599999999999994</v>
      </c>
      <c r="H354" s="6"/>
    </row>
    <row r="355" spans="1:8">
      <c r="A355" s="5">
        <v>167</v>
      </c>
      <c r="B355" s="6" t="str">
        <f>"李芬芬"</f>
        <v>李芬芬</v>
      </c>
      <c r="C355" s="6" t="str">
        <f>"女"</f>
        <v>女</v>
      </c>
      <c r="D355" s="6" t="str">
        <f>"202113023105"</f>
        <v>202113023105</v>
      </c>
      <c r="E355" s="10" t="s">
        <v>19</v>
      </c>
      <c r="F355" s="6" t="s">
        <v>16</v>
      </c>
      <c r="G355" s="8">
        <v>72.900000000000006</v>
      </c>
      <c r="H355" s="6"/>
    </row>
    <row r="356" spans="1:8">
      <c r="A356" s="5">
        <v>170</v>
      </c>
      <c r="B356" s="6" t="str">
        <f>"朱倩"</f>
        <v>朱倩</v>
      </c>
      <c r="C356" s="6" t="str">
        <f>"女"</f>
        <v>女</v>
      </c>
      <c r="D356" s="6" t="str">
        <f>"202113023106"</f>
        <v>202113023106</v>
      </c>
      <c r="E356" s="10" t="s">
        <v>19</v>
      </c>
      <c r="F356" s="6" t="s">
        <v>16</v>
      </c>
      <c r="G356" s="8">
        <v>67</v>
      </c>
      <c r="H356" s="6"/>
    </row>
    <row r="357" spans="1:8">
      <c r="A357" s="5">
        <v>171</v>
      </c>
      <c r="B357" s="6" t="str">
        <f>"胡敏"</f>
        <v>胡敏</v>
      </c>
      <c r="C357" s="6" t="str">
        <f>"女"</f>
        <v>女</v>
      </c>
      <c r="D357" s="6" t="str">
        <f>"202113023107"</f>
        <v>202113023107</v>
      </c>
      <c r="E357" s="10" t="s">
        <v>19</v>
      </c>
      <c r="F357" s="6" t="s">
        <v>16</v>
      </c>
      <c r="G357" s="8">
        <v>67.5</v>
      </c>
      <c r="H357" s="6"/>
    </row>
    <row r="358" spans="1:8">
      <c r="A358" s="5">
        <v>174</v>
      </c>
      <c r="B358" s="6" t="str">
        <f>"邓玲丽"</f>
        <v>邓玲丽</v>
      </c>
      <c r="C358" s="6" t="str">
        <f>"女"</f>
        <v>女</v>
      </c>
      <c r="D358" s="6" t="str">
        <f>"202113023108"</f>
        <v>202113023108</v>
      </c>
      <c r="E358" s="10" t="s">
        <v>19</v>
      </c>
      <c r="F358" s="6" t="s">
        <v>16</v>
      </c>
      <c r="G358" s="8">
        <v>65.849999999999994</v>
      </c>
      <c r="H358" s="6"/>
    </row>
    <row r="359" spans="1:8">
      <c r="A359" s="5">
        <v>154</v>
      </c>
      <c r="B359" s="6" t="str">
        <f>"黄志超"</f>
        <v>黄志超</v>
      </c>
      <c r="C359" s="6" t="str">
        <f>"女"</f>
        <v>女</v>
      </c>
      <c r="D359" s="6" t="str">
        <f>"202113023109"</f>
        <v>202113023109</v>
      </c>
      <c r="E359" s="10" t="s">
        <v>19</v>
      </c>
      <c r="F359" s="6" t="s">
        <v>16</v>
      </c>
      <c r="G359" s="8">
        <v>0</v>
      </c>
      <c r="H359" s="9">
        <v>1</v>
      </c>
    </row>
    <row r="360" spans="1:8">
      <c r="A360" s="5">
        <v>172</v>
      </c>
      <c r="B360" s="6" t="str">
        <f>"钟廷镇"</f>
        <v>钟廷镇</v>
      </c>
      <c r="C360" s="6" t="str">
        <f>"男"</f>
        <v>男</v>
      </c>
      <c r="D360" s="6" t="str">
        <f>"202113023110"</f>
        <v>202113023110</v>
      </c>
      <c r="E360" s="10" t="s">
        <v>19</v>
      </c>
      <c r="F360" s="6" t="s">
        <v>16</v>
      </c>
      <c r="G360" s="8">
        <v>66.099999999999994</v>
      </c>
      <c r="H360" s="6"/>
    </row>
    <row r="361" spans="1:8">
      <c r="A361" s="5">
        <v>169</v>
      </c>
      <c r="B361" s="6" t="str">
        <f>"邓珊珊"</f>
        <v>邓珊珊</v>
      </c>
      <c r="C361" s="6" t="str">
        <f t="shared" ref="C361:C381" si="18">"女"</f>
        <v>女</v>
      </c>
      <c r="D361" s="6" t="str">
        <f>"202113023111"</f>
        <v>202113023111</v>
      </c>
      <c r="E361" s="10" t="s">
        <v>19</v>
      </c>
      <c r="F361" s="6" t="s">
        <v>16</v>
      </c>
      <c r="G361" s="8">
        <v>68.75</v>
      </c>
      <c r="H361" s="6"/>
    </row>
    <row r="362" spans="1:8">
      <c r="A362" s="5">
        <v>160</v>
      </c>
      <c r="B362" s="6" t="str">
        <f>"付亮"</f>
        <v>付亮</v>
      </c>
      <c r="C362" s="6" t="str">
        <f t="shared" si="18"/>
        <v>女</v>
      </c>
      <c r="D362" s="6" t="str">
        <f>"202113023112"</f>
        <v>202113023112</v>
      </c>
      <c r="E362" s="10" t="s">
        <v>19</v>
      </c>
      <c r="F362" s="6" t="s">
        <v>16</v>
      </c>
      <c r="G362" s="8">
        <v>66.75</v>
      </c>
      <c r="H362" s="6"/>
    </row>
    <row r="363" spans="1:8">
      <c r="A363" s="5">
        <v>158</v>
      </c>
      <c r="B363" s="6" t="str">
        <f>"王园园"</f>
        <v>王园园</v>
      </c>
      <c r="C363" s="6" t="str">
        <f t="shared" si="18"/>
        <v>女</v>
      </c>
      <c r="D363" s="6" t="str">
        <f>"202113023113"</f>
        <v>202113023113</v>
      </c>
      <c r="E363" s="10" t="s">
        <v>19</v>
      </c>
      <c r="F363" s="6" t="s">
        <v>16</v>
      </c>
      <c r="G363" s="8">
        <v>75.400000000000006</v>
      </c>
      <c r="H363" s="6"/>
    </row>
    <row r="364" spans="1:8">
      <c r="A364" s="5">
        <v>155</v>
      </c>
      <c r="B364" s="6" t="str">
        <f>"戴璇媛"</f>
        <v>戴璇媛</v>
      </c>
      <c r="C364" s="6" t="str">
        <f t="shared" si="18"/>
        <v>女</v>
      </c>
      <c r="D364" s="6" t="str">
        <f>"202113023114"</f>
        <v>202113023114</v>
      </c>
      <c r="E364" s="10" t="s">
        <v>19</v>
      </c>
      <c r="F364" s="6" t="s">
        <v>16</v>
      </c>
      <c r="G364" s="8">
        <v>0</v>
      </c>
      <c r="H364" s="9">
        <v>1</v>
      </c>
    </row>
    <row r="365" spans="1:8">
      <c r="A365" s="5">
        <v>173</v>
      </c>
      <c r="B365" s="6" t="str">
        <f>"邓茜"</f>
        <v>邓茜</v>
      </c>
      <c r="C365" s="6" t="str">
        <f t="shared" si="18"/>
        <v>女</v>
      </c>
      <c r="D365" s="6" t="str">
        <f>"202113023115"</f>
        <v>202113023115</v>
      </c>
      <c r="E365" s="10" t="s">
        <v>19</v>
      </c>
      <c r="F365" s="6" t="s">
        <v>16</v>
      </c>
      <c r="G365" s="8">
        <v>72.45</v>
      </c>
      <c r="H365" s="6"/>
    </row>
    <row r="366" spans="1:8">
      <c r="A366" s="5">
        <v>166</v>
      </c>
      <c r="B366" s="6" t="str">
        <f>"姚芝红"</f>
        <v>姚芝红</v>
      </c>
      <c r="C366" s="6" t="str">
        <f t="shared" si="18"/>
        <v>女</v>
      </c>
      <c r="D366" s="6" t="str">
        <f>"202113023116"</f>
        <v>202113023116</v>
      </c>
      <c r="E366" s="10" t="s">
        <v>19</v>
      </c>
      <c r="F366" s="6" t="s">
        <v>16</v>
      </c>
      <c r="G366" s="8">
        <v>74.2</v>
      </c>
      <c r="H366" s="6"/>
    </row>
    <row r="367" spans="1:8">
      <c r="A367" s="5">
        <v>179</v>
      </c>
      <c r="B367" s="6" t="str">
        <f>"刘英"</f>
        <v>刘英</v>
      </c>
      <c r="C367" s="6" t="str">
        <f t="shared" si="18"/>
        <v>女</v>
      </c>
      <c r="D367" s="6" t="str">
        <f>"202113023117"</f>
        <v>202113023117</v>
      </c>
      <c r="E367" s="10" t="s">
        <v>19</v>
      </c>
      <c r="F367" s="6" t="s">
        <v>16</v>
      </c>
      <c r="G367" s="8">
        <v>75.05</v>
      </c>
      <c r="H367" s="6"/>
    </row>
    <row r="368" spans="1:8">
      <c r="A368" s="5">
        <v>163</v>
      </c>
      <c r="B368" s="6" t="str">
        <f>"陈坚"</f>
        <v>陈坚</v>
      </c>
      <c r="C368" s="6" t="str">
        <f t="shared" si="18"/>
        <v>女</v>
      </c>
      <c r="D368" s="6" t="str">
        <f>"202113023118"</f>
        <v>202113023118</v>
      </c>
      <c r="E368" s="10" t="s">
        <v>19</v>
      </c>
      <c r="F368" s="6" t="s">
        <v>16</v>
      </c>
      <c r="G368" s="8">
        <v>0</v>
      </c>
      <c r="H368" s="9">
        <v>1</v>
      </c>
    </row>
    <row r="369" spans="1:8">
      <c r="A369" s="5">
        <v>176</v>
      </c>
      <c r="B369" s="6" t="str">
        <f>"陈检梅"</f>
        <v>陈检梅</v>
      </c>
      <c r="C369" s="6" t="str">
        <f t="shared" si="18"/>
        <v>女</v>
      </c>
      <c r="D369" s="6" t="str">
        <f>"202113023119"</f>
        <v>202113023119</v>
      </c>
      <c r="E369" s="10" t="s">
        <v>19</v>
      </c>
      <c r="F369" s="6" t="s">
        <v>16</v>
      </c>
      <c r="G369" s="8">
        <v>60.4</v>
      </c>
      <c r="H369" s="6"/>
    </row>
    <row r="370" spans="1:8">
      <c r="A370" s="5">
        <v>165</v>
      </c>
      <c r="B370" s="6" t="str">
        <f>"吴和英"</f>
        <v>吴和英</v>
      </c>
      <c r="C370" s="6" t="str">
        <f t="shared" si="18"/>
        <v>女</v>
      </c>
      <c r="D370" s="6" t="str">
        <f>"202113023120"</f>
        <v>202113023120</v>
      </c>
      <c r="E370" s="10" t="s">
        <v>19</v>
      </c>
      <c r="F370" s="6" t="s">
        <v>16</v>
      </c>
      <c r="G370" s="8">
        <v>67.849999999999994</v>
      </c>
      <c r="H370" s="6"/>
    </row>
    <row r="371" spans="1:8">
      <c r="A371" s="5">
        <v>178</v>
      </c>
      <c r="B371" s="6" t="str">
        <f>"周慧慧"</f>
        <v>周慧慧</v>
      </c>
      <c r="C371" s="6" t="str">
        <f t="shared" si="18"/>
        <v>女</v>
      </c>
      <c r="D371" s="6" t="str">
        <f>"202113023121"</f>
        <v>202113023121</v>
      </c>
      <c r="E371" s="10" t="s">
        <v>19</v>
      </c>
      <c r="F371" s="6" t="s">
        <v>16</v>
      </c>
      <c r="G371" s="8">
        <v>64</v>
      </c>
      <c r="H371" s="6"/>
    </row>
    <row r="372" spans="1:8">
      <c r="A372" s="5">
        <v>164</v>
      </c>
      <c r="B372" s="6" t="str">
        <f>"刘琳"</f>
        <v>刘琳</v>
      </c>
      <c r="C372" s="6" t="str">
        <f t="shared" si="18"/>
        <v>女</v>
      </c>
      <c r="D372" s="6" t="str">
        <f>"202113023122"</f>
        <v>202113023122</v>
      </c>
      <c r="E372" s="10" t="s">
        <v>19</v>
      </c>
      <c r="F372" s="6" t="s">
        <v>16</v>
      </c>
      <c r="G372" s="8">
        <v>62.85</v>
      </c>
      <c r="H372" s="6"/>
    </row>
    <row r="373" spans="1:8">
      <c r="A373" s="5">
        <v>161</v>
      </c>
      <c r="B373" s="6" t="str">
        <f>"唐琰"</f>
        <v>唐琰</v>
      </c>
      <c r="C373" s="6" t="str">
        <f t="shared" si="18"/>
        <v>女</v>
      </c>
      <c r="D373" s="6" t="str">
        <f>"202113023123"</f>
        <v>202113023123</v>
      </c>
      <c r="E373" s="10" t="s">
        <v>19</v>
      </c>
      <c r="F373" s="6" t="s">
        <v>16</v>
      </c>
      <c r="G373" s="8">
        <v>74.05</v>
      </c>
      <c r="H373" s="6"/>
    </row>
    <row r="374" spans="1:8">
      <c r="A374" s="5">
        <v>162</v>
      </c>
      <c r="B374" s="6" t="str">
        <f>"张洁"</f>
        <v>张洁</v>
      </c>
      <c r="C374" s="6" t="str">
        <f t="shared" si="18"/>
        <v>女</v>
      </c>
      <c r="D374" s="6" t="str">
        <f>"202113023124"</f>
        <v>202113023124</v>
      </c>
      <c r="E374" s="10" t="s">
        <v>19</v>
      </c>
      <c r="F374" s="6" t="s">
        <v>16</v>
      </c>
      <c r="G374" s="8">
        <v>57.9</v>
      </c>
      <c r="H374" s="6"/>
    </row>
    <row r="375" spans="1:8">
      <c r="A375" s="5">
        <v>175</v>
      </c>
      <c r="B375" s="6" t="str">
        <f>"沈兰萍"</f>
        <v>沈兰萍</v>
      </c>
      <c r="C375" s="6" t="str">
        <f t="shared" si="18"/>
        <v>女</v>
      </c>
      <c r="D375" s="6" t="str">
        <f>"202113023125"</f>
        <v>202113023125</v>
      </c>
      <c r="E375" s="10" t="s">
        <v>19</v>
      </c>
      <c r="F375" s="6" t="s">
        <v>16</v>
      </c>
      <c r="G375" s="8">
        <v>0</v>
      </c>
      <c r="H375" s="9">
        <v>1</v>
      </c>
    </row>
    <row r="376" spans="1:8">
      <c r="A376" s="5">
        <v>177</v>
      </c>
      <c r="B376" s="6" t="str">
        <f>"龙俊"</f>
        <v>龙俊</v>
      </c>
      <c r="C376" s="6" t="str">
        <f t="shared" si="18"/>
        <v>女</v>
      </c>
      <c r="D376" s="6" t="str">
        <f>"202113023126"</f>
        <v>202113023126</v>
      </c>
      <c r="E376" s="10" t="s">
        <v>19</v>
      </c>
      <c r="F376" s="6" t="s">
        <v>16</v>
      </c>
      <c r="G376" s="8">
        <v>61.25</v>
      </c>
      <c r="H376" s="6"/>
    </row>
    <row r="377" spans="1:8">
      <c r="A377" s="5">
        <v>183</v>
      </c>
      <c r="B377" s="6" t="str">
        <f>"石依婷"</f>
        <v>石依婷</v>
      </c>
      <c r="C377" s="6" t="str">
        <f t="shared" si="18"/>
        <v>女</v>
      </c>
      <c r="D377" s="6" t="str">
        <f>"202114040110"</f>
        <v>202114040110</v>
      </c>
      <c r="E377" s="10" t="s">
        <v>19</v>
      </c>
      <c r="F377" s="6" t="s">
        <v>18</v>
      </c>
      <c r="G377" s="8">
        <v>80.599999999999994</v>
      </c>
      <c r="H377" s="6"/>
    </row>
    <row r="378" spans="1:8">
      <c r="A378" s="5">
        <v>190</v>
      </c>
      <c r="B378" s="6" t="str">
        <f>"罗小芳"</f>
        <v>罗小芳</v>
      </c>
      <c r="C378" s="6" t="str">
        <f t="shared" si="18"/>
        <v>女</v>
      </c>
      <c r="D378" s="6" t="str">
        <f>"202114040111"</f>
        <v>202114040111</v>
      </c>
      <c r="E378" s="10" t="s">
        <v>19</v>
      </c>
      <c r="F378" s="6" t="s">
        <v>18</v>
      </c>
      <c r="G378" s="8">
        <v>81.150000000000006</v>
      </c>
      <c r="H378" s="6"/>
    </row>
    <row r="379" spans="1:8">
      <c r="A379" s="5">
        <v>185</v>
      </c>
      <c r="B379" s="6" t="str">
        <f>"陈湘湘"</f>
        <v>陈湘湘</v>
      </c>
      <c r="C379" s="6" t="str">
        <f t="shared" si="18"/>
        <v>女</v>
      </c>
      <c r="D379" s="6" t="str">
        <f>"202114040112"</f>
        <v>202114040112</v>
      </c>
      <c r="E379" s="10" t="s">
        <v>19</v>
      </c>
      <c r="F379" s="6" t="s">
        <v>18</v>
      </c>
      <c r="G379" s="8">
        <v>84.65</v>
      </c>
      <c r="H379" s="6"/>
    </row>
    <row r="380" spans="1:8">
      <c r="A380" s="5">
        <v>189</v>
      </c>
      <c r="B380" s="6" t="str">
        <f>"罗澜"</f>
        <v>罗澜</v>
      </c>
      <c r="C380" s="6" t="str">
        <f t="shared" si="18"/>
        <v>女</v>
      </c>
      <c r="D380" s="6" t="str">
        <f>"202114040113"</f>
        <v>202114040113</v>
      </c>
      <c r="E380" s="10" t="s">
        <v>19</v>
      </c>
      <c r="F380" s="6" t="s">
        <v>18</v>
      </c>
      <c r="G380" s="8">
        <v>69.55</v>
      </c>
      <c r="H380" s="6"/>
    </row>
    <row r="381" spans="1:8">
      <c r="A381" s="5">
        <v>217</v>
      </c>
      <c r="B381" s="6" t="str">
        <f>"肖琪"</f>
        <v>肖琪</v>
      </c>
      <c r="C381" s="6" t="str">
        <f t="shared" si="18"/>
        <v>女</v>
      </c>
      <c r="D381" s="6" t="str">
        <f>"202114040114"</f>
        <v>202114040114</v>
      </c>
      <c r="E381" s="10" t="s">
        <v>19</v>
      </c>
      <c r="F381" s="6" t="s">
        <v>18</v>
      </c>
      <c r="G381" s="8">
        <v>69.8</v>
      </c>
      <c r="H381" s="6"/>
    </row>
    <row r="382" spans="1:8">
      <c r="A382" s="5">
        <v>204</v>
      </c>
      <c r="B382" s="6" t="str">
        <f>"肖似锦"</f>
        <v>肖似锦</v>
      </c>
      <c r="C382" s="6" t="str">
        <f>"男"</f>
        <v>男</v>
      </c>
      <c r="D382" s="6" t="str">
        <f>"202114040115"</f>
        <v>202114040115</v>
      </c>
      <c r="E382" s="10" t="s">
        <v>19</v>
      </c>
      <c r="F382" s="6" t="s">
        <v>18</v>
      </c>
      <c r="G382" s="8">
        <v>84.35</v>
      </c>
      <c r="H382" s="6"/>
    </row>
    <row r="383" spans="1:8">
      <c r="A383" s="5">
        <v>193</v>
      </c>
      <c r="B383" s="6" t="str">
        <f>"肖旭升"</f>
        <v>肖旭升</v>
      </c>
      <c r="C383" s="6" t="str">
        <f>"女"</f>
        <v>女</v>
      </c>
      <c r="D383" s="6" t="str">
        <f>"202114040116"</f>
        <v>202114040116</v>
      </c>
      <c r="E383" s="10" t="s">
        <v>19</v>
      </c>
      <c r="F383" s="6" t="s">
        <v>18</v>
      </c>
      <c r="G383" s="8">
        <v>82.65</v>
      </c>
      <c r="H383" s="6"/>
    </row>
    <row r="384" spans="1:8">
      <c r="A384" s="5">
        <v>187</v>
      </c>
      <c r="B384" s="6" t="str">
        <f>"曾超"</f>
        <v>曾超</v>
      </c>
      <c r="C384" s="6" t="str">
        <f>"男"</f>
        <v>男</v>
      </c>
      <c r="D384" s="6" t="str">
        <f>"202114040117"</f>
        <v>202114040117</v>
      </c>
      <c r="E384" s="10" t="s">
        <v>19</v>
      </c>
      <c r="F384" s="6" t="s">
        <v>18</v>
      </c>
      <c r="G384" s="8">
        <v>0</v>
      </c>
      <c r="H384" s="9">
        <v>1</v>
      </c>
    </row>
    <row r="385" spans="1:8">
      <c r="A385" s="5">
        <v>218</v>
      </c>
      <c r="B385" s="6" t="str">
        <f>"王汇"</f>
        <v>王汇</v>
      </c>
      <c r="C385" s="6" t="str">
        <f t="shared" ref="C385:C401" si="19">"女"</f>
        <v>女</v>
      </c>
      <c r="D385" s="6" t="str">
        <f>"202114040118"</f>
        <v>202114040118</v>
      </c>
      <c r="E385" s="10" t="s">
        <v>19</v>
      </c>
      <c r="F385" s="6" t="s">
        <v>18</v>
      </c>
      <c r="G385" s="8">
        <v>69</v>
      </c>
      <c r="H385" s="6"/>
    </row>
    <row r="386" spans="1:8">
      <c r="A386" s="5">
        <v>181</v>
      </c>
      <c r="B386" s="6" t="str">
        <f>"阳芙"</f>
        <v>阳芙</v>
      </c>
      <c r="C386" s="6" t="str">
        <f t="shared" si="19"/>
        <v>女</v>
      </c>
      <c r="D386" s="6" t="str">
        <f>"202114040119"</f>
        <v>202114040119</v>
      </c>
      <c r="E386" s="10" t="s">
        <v>19</v>
      </c>
      <c r="F386" s="6" t="s">
        <v>18</v>
      </c>
      <c r="G386" s="8">
        <v>81.2</v>
      </c>
      <c r="H386" s="6"/>
    </row>
    <row r="387" spans="1:8">
      <c r="A387" s="5">
        <v>205</v>
      </c>
      <c r="B387" s="6" t="str">
        <f>"孙靖"</f>
        <v>孙靖</v>
      </c>
      <c r="C387" s="6" t="str">
        <f t="shared" si="19"/>
        <v>女</v>
      </c>
      <c r="D387" s="6" t="str">
        <f>"202114040120"</f>
        <v>202114040120</v>
      </c>
      <c r="E387" s="10" t="s">
        <v>19</v>
      </c>
      <c r="F387" s="6" t="s">
        <v>18</v>
      </c>
      <c r="G387" s="8">
        <v>74.7</v>
      </c>
      <c r="H387" s="6"/>
    </row>
    <row r="388" spans="1:8">
      <c r="A388" s="5">
        <v>192</v>
      </c>
      <c r="B388" s="6" t="str">
        <f>"宁志芳"</f>
        <v>宁志芳</v>
      </c>
      <c r="C388" s="6" t="str">
        <f t="shared" si="19"/>
        <v>女</v>
      </c>
      <c r="D388" s="6" t="str">
        <f>"202114040121"</f>
        <v>202114040121</v>
      </c>
      <c r="E388" s="10" t="s">
        <v>19</v>
      </c>
      <c r="F388" s="6" t="s">
        <v>18</v>
      </c>
      <c r="G388" s="8">
        <v>79.349999999999994</v>
      </c>
      <c r="H388" s="6"/>
    </row>
    <row r="389" spans="1:8">
      <c r="A389" s="5">
        <v>182</v>
      </c>
      <c r="B389" s="6" t="str">
        <f>"刘宇称"</f>
        <v>刘宇称</v>
      </c>
      <c r="C389" s="6" t="str">
        <f t="shared" si="19"/>
        <v>女</v>
      </c>
      <c r="D389" s="6" t="str">
        <f>"202114040122"</f>
        <v>202114040122</v>
      </c>
      <c r="E389" s="10" t="s">
        <v>19</v>
      </c>
      <c r="F389" s="6" t="s">
        <v>18</v>
      </c>
      <c r="G389" s="8">
        <v>0</v>
      </c>
      <c r="H389" s="9">
        <v>1</v>
      </c>
    </row>
    <row r="390" spans="1:8">
      <c r="A390" s="5">
        <v>191</v>
      </c>
      <c r="B390" s="6" t="str">
        <f>"吴紫丹"</f>
        <v>吴紫丹</v>
      </c>
      <c r="C390" s="6" t="str">
        <f t="shared" si="19"/>
        <v>女</v>
      </c>
      <c r="D390" s="6" t="str">
        <f>"202114040123"</f>
        <v>202114040123</v>
      </c>
      <c r="E390" s="10" t="s">
        <v>19</v>
      </c>
      <c r="F390" s="6" t="s">
        <v>18</v>
      </c>
      <c r="G390" s="8">
        <v>0</v>
      </c>
      <c r="H390" s="9">
        <v>1</v>
      </c>
    </row>
    <row r="391" spans="1:8">
      <c r="A391" s="5">
        <v>214</v>
      </c>
      <c r="B391" s="6" t="str">
        <f>"肖增芳"</f>
        <v>肖增芳</v>
      </c>
      <c r="C391" s="6" t="str">
        <f t="shared" si="19"/>
        <v>女</v>
      </c>
      <c r="D391" s="6" t="str">
        <f>"202114040124"</f>
        <v>202114040124</v>
      </c>
      <c r="E391" s="10" t="s">
        <v>19</v>
      </c>
      <c r="F391" s="6" t="s">
        <v>18</v>
      </c>
      <c r="G391" s="8">
        <v>83.95</v>
      </c>
      <c r="H391" s="6"/>
    </row>
    <row r="392" spans="1:8">
      <c r="A392" s="5">
        <v>210</v>
      </c>
      <c r="B392" s="6" t="str">
        <f>"周威"</f>
        <v>周威</v>
      </c>
      <c r="C392" s="6" t="str">
        <f t="shared" si="19"/>
        <v>女</v>
      </c>
      <c r="D392" s="6" t="str">
        <f>"202114040125"</f>
        <v>202114040125</v>
      </c>
      <c r="E392" s="10" t="s">
        <v>19</v>
      </c>
      <c r="F392" s="6" t="s">
        <v>18</v>
      </c>
      <c r="G392" s="8">
        <v>73.099999999999994</v>
      </c>
      <c r="H392" s="6"/>
    </row>
    <row r="393" spans="1:8">
      <c r="A393" s="5">
        <v>212</v>
      </c>
      <c r="B393" s="6" t="str">
        <f>"王娟"</f>
        <v>王娟</v>
      </c>
      <c r="C393" s="6" t="str">
        <f t="shared" si="19"/>
        <v>女</v>
      </c>
      <c r="D393" s="6" t="str">
        <f>"202114040126"</f>
        <v>202114040126</v>
      </c>
      <c r="E393" s="10" t="s">
        <v>19</v>
      </c>
      <c r="F393" s="6" t="s">
        <v>18</v>
      </c>
      <c r="G393" s="8">
        <v>77.95</v>
      </c>
      <c r="H393" s="6"/>
    </row>
    <row r="394" spans="1:8">
      <c r="A394" s="5">
        <v>203</v>
      </c>
      <c r="B394" s="6" t="str">
        <f>"胡又元"</f>
        <v>胡又元</v>
      </c>
      <c r="C394" s="6" t="str">
        <f t="shared" si="19"/>
        <v>女</v>
      </c>
      <c r="D394" s="6" t="str">
        <f>"202114040127"</f>
        <v>202114040127</v>
      </c>
      <c r="E394" s="10" t="s">
        <v>19</v>
      </c>
      <c r="F394" s="6" t="s">
        <v>18</v>
      </c>
      <c r="G394" s="8">
        <v>82.65</v>
      </c>
      <c r="H394" s="6"/>
    </row>
    <row r="395" spans="1:8">
      <c r="A395" s="5">
        <v>207</v>
      </c>
      <c r="B395" s="6" t="str">
        <f>"冯晓静"</f>
        <v>冯晓静</v>
      </c>
      <c r="C395" s="6" t="str">
        <f t="shared" si="19"/>
        <v>女</v>
      </c>
      <c r="D395" s="6" t="str">
        <f>"202114040128"</f>
        <v>202114040128</v>
      </c>
      <c r="E395" s="10" t="s">
        <v>19</v>
      </c>
      <c r="F395" s="6" t="s">
        <v>18</v>
      </c>
      <c r="G395" s="8">
        <v>64.349999999999994</v>
      </c>
      <c r="H395" s="6"/>
    </row>
    <row r="396" spans="1:8">
      <c r="A396" s="5">
        <v>202</v>
      </c>
      <c r="B396" s="6" t="str">
        <f>"戴舒婷"</f>
        <v>戴舒婷</v>
      </c>
      <c r="C396" s="6" t="str">
        <f t="shared" si="19"/>
        <v>女</v>
      </c>
      <c r="D396" s="6" t="str">
        <f>"202114040129"</f>
        <v>202114040129</v>
      </c>
      <c r="E396" s="10" t="s">
        <v>19</v>
      </c>
      <c r="F396" s="6" t="s">
        <v>18</v>
      </c>
      <c r="G396" s="8">
        <v>0</v>
      </c>
      <c r="H396" s="9">
        <v>1</v>
      </c>
    </row>
    <row r="397" spans="1:8">
      <c r="A397" s="5">
        <v>188</v>
      </c>
      <c r="B397" s="6" t="str">
        <f>"姚婧婕"</f>
        <v>姚婧婕</v>
      </c>
      <c r="C397" s="6" t="str">
        <f t="shared" si="19"/>
        <v>女</v>
      </c>
      <c r="D397" s="6" t="str">
        <f>"202114040130"</f>
        <v>202114040130</v>
      </c>
      <c r="E397" s="10" t="s">
        <v>19</v>
      </c>
      <c r="F397" s="6" t="s">
        <v>18</v>
      </c>
      <c r="G397" s="8">
        <v>76.150000000000006</v>
      </c>
      <c r="H397" s="6"/>
    </row>
    <row r="398" spans="1:8">
      <c r="A398" s="5">
        <v>201</v>
      </c>
      <c r="B398" s="6" t="str">
        <f>"黄雨晴"</f>
        <v>黄雨晴</v>
      </c>
      <c r="C398" s="6" t="str">
        <f t="shared" si="19"/>
        <v>女</v>
      </c>
      <c r="D398" s="6" t="str">
        <f>"202114040201"</f>
        <v>202114040201</v>
      </c>
      <c r="E398" s="10" t="s">
        <v>19</v>
      </c>
      <c r="F398" s="6" t="s">
        <v>18</v>
      </c>
      <c r="G398" s="8">
        <v>0</v>
      </c>
      <c r="H398" s="9">
        <v>1</v>
      </c>
    </row>
    <row r="399" spans="1:8">
      <c r="A399" s="5">
        <v>195</v>
      </c>
      <c r="B399" s="6" t="str">
        <f>"刘丽艳"</f>
        <v>刘丽艳</v>
      </c>
      <c r="C399" s="6" t="str">
        <f t="shared" si="19"/>
        <v>女</v>
      </c>
      <c r="D399" s="6" t="str">
        <f>"202114040202"</f>
        <v>202114040202</v>
      </c>
      <c r="E399" s="10" t="s">
        <v>19</v>
      </c>
      <c r="F399" s="6" t="s">
        <v>18</v>
      </c>
      <c r="G399" s="8">
        <v>85.3</v>
      </c>
      <c r="H399" s="6"/>
    </row>
    <row r="400" spans="1:8">
      <c r="A400" s="5">
        <v>184</v>
      </c>
      <c r="B400" s="6" t="str">
        <f>"邓娇利"</f>
        <v>邓娇利</v>
      </c>
      <c r="C400" s="6" t="str">
        <f t="shared" si="19"/>
        <v>女</v>
      </c>
      <c r="D400" s="6" t="str">
        <f>"202114040203"</f>
        <v>202114040203</v>
      </c>
      <c r="E400" s="10" t="s">
        <v>19</v>
      </c>
      <c r="F400" s="6" t="s">
        <v>18</v>
      </c>
      <c r="G400" s="8">
        <v>55.6</v>
      </c>
      <c r="H400" s="6"/>
    </row>
    <row r="401" spans="1:8">
      <c r="A401" s="5">
        <v>200</v>
      </c>
      <c r="B401" s="6" t="str">
        <f>"李羽"</f>
        <v>李羽</v>
      </c>
      <c r="C401" s="6" t="str">
        <f t="shared" si="19"/>
        <v>女</v>
      </c>
      <c r="D401" s="6" t="str">
        <f>"202114040204"</f>
        <v>202114040204</v>
      </c>
      <c r="E401" s="10" t="s">
        <v>19</v>
      </c>
      <c r="F401" s="6" t="s">
        <v>18</v>
      </c>
      <c r="G401" s="8">
        <v>0</v>
      </c>
      <c r="H401" s="9">
        <v>1</v>
      </c>
    </row>
    <row r="402" spans="1:8">
      <c r="A402" s="5">
        <v>215</v>
      </c>
      <c r="B402" s="6" t="str">
        <f>"麻勇"</f>
        <v>麻勇</v>
      </c>
      <c r="C402" s="6" t="str">
        <f>"男"</f>
        <v>男</v>
      </c>
      <c r="D402" s="6" t="str">
        <f>"202114040205"</f>
        <v>202114040205</v>
      </c>
      <c r="E402" s="10" t="s">
        <v>19</v>
      </c>
      <c r="F402" s="6" t="s">
        <v>18</v>
      </c>
      <c r="G402" s="8">
        <v>0</v>
      </c>
      <c r="H402" s="9">
        <v>1</v>
      </c>
    </row>
    <row r="403" spans="1:8">
      <c r="A403" s="5">
        <v>197</v>
      </c>
      <c r="B403" s="6" t="str">
        <f>"刘珠茜"</f>
        <v>刘珠茜</v>
      </c>
      <c r="C403" s="6" t="str">
        <f>"女"</f>
        <v>女</v>
      </c>
      <c r="D403" s="6" t="str">
        <f>"202114040206"</f>
        <v>202114040206</v>
      </c>
      <c r="E403" s="10" t="s">
        <v>19</v>
      </c>
      <c r="F403" s="6" t="s">
        <v>18</v>
      </c>
      <c r="G403" s="8">
        <v>63.55</v>
      </c>
      <c r="H403" s="6"/>
    </row>
    <row r="404" spans="1:8">
      <c r="A404" s="5">
        <v>216</v>
      </c>
      <c r="B404" s="6" t="str">
        <f>"邓燕华"</f>
        <v>邓燕华</v>
      </c>
      <c r="C404" s="6" t="str">
        <f>"女"</f>
        <v>女</v>
      </c>
      <c r="D404" s="6" t="str">
        <f>"202114040207"</f>
        <v>202114040207</v>
      </c>
      <c r="E404" s="10" t="s">
        <v>19</v>
      </c>
      <c r="F404" s="6" t="s">
        <v>18</v>
      </c>
      <c r="G404" s="8">
        <v>90.8</v>
      </c>
      <c r="H404" s="6"/>
    </row>
    <row r="405" spans="1:8">
      <c r="A405" s="5">
        <v>219</v>
      </c>
      <c r="B405" s="6" t="str">
        <f>"张立群"</f>
        <v>张立群</v>
      </c>
      <c r="C405" s="6" t="str">
        <f>"女"</f>
        <v>女</v>
      </c>
      <c r="D405" s="6" t="str">
        <f>"202114040208"</f>
        <v>202114040208</v>
      </c>
      <c r="E405" s="10" t="s">
        <v>19</v>
      </c>
      <c r="F405" s="6" t="s">
        <v>18</v>
      </c>
      <c r="G405" s="8">
        <v>80.099999999999994</v>
      </c>
      <c r="H405" s="6"/>
    </row>
    <row r="406" spans="1:8">
      <c r="A406" s="5">
        <v>198</v>
      </c>
      <c r="B406" s="6" t="str">
        <f>"陈淑娟"</f>
        <v>陈淑娟</v>
      </c>
      <c r="C406" s="6" t="str">
        <f>"女"</f>
        <v>女</v>
      </c>
      <c r="D406" s="6" t="str">
        <f>"202114040209"</f>
        <v>202114040209</v>
      </c>
      <c r="E406" s="10" t="s">
        <v>19</v>
      </c>
      <c r="F406" s="6" t="s">
        <v>18</v>
      </c>
      <c r="G406" s="8">
        <v>77</v>
      </c>
      <c r="H406" s="6"/>
    </row>
    <row r="407" spans="1:8">
      <c r="A407" s="5">
        <v>209</v>
      </c>
      <c r="B407" s="6" t="str">
        <f>"粟振东"</f>
        <v>粟振东</v>
      </c>
      <c r="C407" s="6" t="str">
        <f>"男"</f>
        <v>男</v>
      </c>
      <c r="D407" s="6" t="str">
        <f>"202114040210"</f>
        <v>202114040210</v>
      </c>
      <c r="E407" s="10" t="s">
        <v>19</v>
      </c>
      <c r="F407" s="6" t="s">
        <v>18</v>
      </c>
      <c r="G407" s="8">
        <v>75.150000000000006</v>
      </c>
      <c r="H407" s="6"/>
    </row>
    <row r="408" spans="1:8">
      <c r="A408" s="5">
        <v>206</v>
      </c>
      <c r="B408" s="6" t="str">
        <f>"郭咪"</f>
        <v>郭咪</v>
      </c>
      <c r="C408" s="6" t="str">
        <f t="shared" ref="C408:C426" si="20">"女"</f>
        <v>女</v>
      </c>
      <c r="D408" s="6" t="str">
        <f>"202114040211"</f>
        <v>202114040211</v>
      </c>
      <c r="E408" s="10" t="s">
        <v>19</v>
      </c>
      <c r="F408" s="6" t="s">
        <v>18</v>
      </c>
      <c r="G408" s="8">
        <v>0</v>
      </c>
      <c r="H408" s="9">
        <v>1</v>
      </c>
    </row>
    <row r="409" spans="1:8">
      <c r="A409" s="5">
        <v>213</v>
      </c>
      <c r="B409" s="6" t="str">
        <f>"蔡欣婳"</f>
        <v>蔡欣婳</v>
      </c>
      <c r="C409" s="6" t="str">
        <f t="shared" si="20"/>
        <v>女</v>
      </c>
      <c r="D409" s="6" t="str">
        <f>"202114040212"</f>
        <v>202114040212</v>
      </c>
      <c r="E409" s="10" t="s">
        <v>19</v>
      </c>
      <c r="F409" s="6" t="s">
        <v>18</v>
      </c>
      <c r="G409" s="8">
        <v>84.4</v>
      </c>
      <c r="H409" s="6"/>
    </row>
    <row r="410" spans="1:8">
      <c r="A410" s="5">
        <v>196</v>
      </c>
      <c r="B410" s="6" t="str">
        <f>"谢娩林"</f>
        <v>谢娩林</v>
      </c>
      <c r="C410" s="6" t="str">
        <f t="shared" si="20"/>
        <v>女</v>
      </c>
      <c r="D410" s="6" t="str">
        <f>"202114040213"</f>
        <v>202114040213</v>
      </c>
      <c r="E410" s="10" t="s">
        <v>19</v>
      </c>
      <c r="F410" s="6" t="s">
        <v>18</v>
      </c>
      <c r="G410" s="8">
        <v>69.55</v>
      </c>
      <c r="H410" s="6"/>
    </row>
    <row r="411" spans="1:8">
      <c r="A411" s="5">
        <v>186</v>
      </c>
      <c r="B411" s="6" t="str">
        <f>"刘美鑫子"</f>
        <v>刘美鑫子</v>
      </c>
      <c r="C411" s="6" t="str">
        <f t="shared" si="20"/>
        <v>女</v>
      </c>
      <c r="D411" s="6" t="str">
        <f>"202114040214"</f>
        <v>202114040214</v>
      </c>
      <c r="E411" s="10" t="s">
        <v>19</v>
      </c>
      <c r="F411" s="6" t="s">
        <v>18</v>
      </c>
      <c r="G411" s="8">
        <v>74.95</v>
      </c>
      <c r="H411" s="6"/>
    </row>
    <row r="412" spans="1:8">
      <c r="A412" s="5">
        <v>180</v>
      </c>
      <c r="B412" s="6" t="str">
        <f>"刘琬"</f>
        <v>刘琬</v>
      </c>
      <c r="C412" s="6" t="str">
        <f t="shared" si="20"/>
        <v>女</v>
      </c>
      <c r="D412" s="6" t="str">
        <f>"202114040215"</f>
        <v>202114040215</v>
      </c>
      <c r="E412" s="10" t="s">
        <v>19</v>
      </c>
      <c r="F412" s="6" t="s">
        <v>18</v>
      </c>
      <c r="G412" s="8">
        <v>0</v>
      </c>
      <c r="H412" s="9">
        <v>1</v>
      </c>
    </row>
    <row r="413" spans="1:8">
      <c r="A413" s="5">
        <v>199</v>
      </c>
      <c r="B413" s="6" t="str">
        <f>"谢丽丽"</f>
        <v>谢丽丽</v>
      </c>
      <c r="C413" s="6" t="str">
        <f t="shared" si="20"/>
        <v>女</v>
      </c>
      <c r="D413" s="6" t="str">
        <f>"202114040216"</f>
        <v>202114040216</v>
      </c>
      <c r="E413" s="10" t="s">
        <v>19</v>
      </c>
      <c r="F413" s="6" t="s">
        <v>18</v>
      </c>
      <c r="G413" s="8">
        <v>82.35</v>
      </c>
      <c r="H413" s="6"/>
    </row>
    <row r="414" spans="1:8">
      <c r="A414" s="5">
        <v>211</v>
      </c>
      <c r="B414" s="6" t="str">
        <f>"周校英"</f>
        <v>周校英</v>
      </c>
      <c r="C414" s="6" t="str">
        <f t="shared" si="20"/>
        <v>女</v>
      </c>
      <c r="D414" s="6" t="str">
        <f>"202114040217"</f>
        <v>202114040217</v>
      </c>
      <c r="E414" s="10" t="s">
        <v>19</v>
      </c>
      <c r="F414" s="6" t="s">
        <v>18</v>
      </c>
      <c r="G414" s="8">
        <v>74.25</v>
      </c>
      <c r="H414" s="6"/>
    </row>
    <row r="415" spans="1:8">
      <c r="A415" s="5">
        <v>208</v>
      </c>
      <c r="B415" s="6" t="str">
        <f>"李立华"</f>
        <v>李立华</v>
      </c>
      <c r="C415" s="6" t="str">
        <f t="shared" si="20"/>
        <v>女</v>
      </c>
      <c r="D415" s="6" t="str">
        <f>"202114040218"</f>
        <v>202114040218</v>
      </c>
      <c r="E415" s="10" t="s">
        <v>19</v>
      </c>
      <c r="F415" s="6" t="s">
        <v>18</v>
      </c>
      <c r="G415" s="8">
        <v>77.2</v>
      </c>
      <c r="H415" s="6"/>
    </row>
    <row r="416" spans="1:8">
      <c r="A416" s="5">
        <v>194</v>
      </c>
      <c r="B416" s="6" t="str">
        <f>"章娜"</f>
        <v>章娜</v>
      </c>
      <c r="C416" s="6" t="str">
        <f t="shared" si="20"/>
        <v>女</v>
      </c>
      <c r="D416" s="6" t="str">
        <f>"202114040219"</f>
        <v>202114040219</v>
      </c>
      <c r="E416" s="10" t="s">
        <v>19</v>
      </c>
      <c r="F416" s="6" t="s">
        <v>18</v>
      </c>
      <c r="G416" s="8">
        <v>85.8</v>
      </c>
      <c r="H416" s="6"/>
    </row>
    <row r="417" spans="1:8">
      <c r="A417" s="5">
        <v>376</v>
      </c>
      <c r="B417" s="6" t="str">
        <f>"刘婷婷"</f>
        <v>刘婷婷</v>
      </c>
      <c r="C417" s="6" t="str">
        <f t="shared" si="20"/>
        <v>女</v>
      </c>
      <c r="D417" s="6" t="str">
        <f>"202115010101"</f>
        <v>202115010101</v>
      </c>
      <c r="E417" s="10" t="s">
        <v>20</v>
      </c>
      <c r="F417" s="6" t="s">
        <v>9</v>
      </c>
      <c r="G417" s="8">
        <v>55.75</v>
      </c>
      <c r="H417" s="6"/>
    </row>
    <row r="418" spans="1:8">
      <c r="A418" s="5">
        <v>532</v>
      </c>
      <c r="B418" s="6" t="str">
        <f>"蒋微"</f>
        <v>蒋微</v>
      </c>
      <c r="C418" s="6" t="str">
        <f t="shared" si="20"/>
        <v>女</v>
      </c>
      <c r="D418" s="6" t="str">
        <f>"202115010102"</f>
        <v>202115010102</v>
      </c>
      <c r="E418" s="10" t="s">
        <v>20</v>
      </c>
      <c r="F418" s="6" t="s">
        <v>9</v>
      </c>
      <c r="G418" s="8">
        <v>55.6</v>
      </c>
      <c r="H418" s="6"/>
    </row>
    <row r="419" spans="1:8">
      <c r="A419" s="5">
        <v>507</v>
      </c>
      <c r="B419" s="6" t="str">
        <f>"蒋伶"</f>
        <v>蒋伶</v>
      </c>
      <c r="C419" s="6" t="str">
        <f t="shared" si="20"/>
        <v>女</v>
      </c>
      <c r="D419" s="6" t="str">
        <f>"202115010103"</f>
        <v>202115010103</v>
      </c>
      <c r="E419" s="10" t="s">
        <v>20</v>
      </c>
      <c r="F419" s="6" t="s">
        <v>9</v>
      </c>
      <c r="G419" s="8">
        <v>57.1</v>
      </c>
      <c r="H419" s="6"/>
    </row>
    <row r="420" spans="1:8">
      <c r="A420" s="5">
        <v>314</v>
      </c>
      <c r="B420" s="6" t="str">
        <f>"唐翠萍"</f>
        <v>唐翠萍</v>
      </c>
      <c r="C420" s="6" t="str">
        <f t="shared" si="20"/>
        <v>女</v>
      </c>
      <c r="D420" s="6" t="str">
        <f>"202115010104"</f>
        <v>202115010104</v>
      </c>
      <c r="E420" s="10" t="s">
        <v>20</v>
      </c>
      <c r="F420" s="6" t="s">
        <v>9</v>
      </c>
      <c r="G420" s="8">
        <v>65.55</v>
      </c>
      <c r="H420" s="6"/>
    </row>
    <row r="421" spans="1:8">
      <c r="A421" s="5">
        <v>256</v>
      </c>
      <c r="B421" s="6" t="str">
        <f>"谢玙姮"</f>
        <v>谢玙姮</v>
      </c>
      <c r="C421" s="6" t="str">
        <f t="shared" si="20"/>
        <v>女</v>
      </c>
      <c r="D421" s="6" t="str">
        <f>"202115010105"</f>
        <v>202115010105</v>
      </c>
      <c r="E421" s="10" t="s">
        <v>20</v>
      </c>
      <c r="F421" s="6" t="s">
        <v>9</v>
      </c>
      <c r="G421" s="8">
        <v>52</v>
      </c>
      <c r="H421" s="6"/>
    </row>
    <row r="422" spans="1:8">
      <c r="A422" s="5">
        <v>523</v>
      </c>
      <c r="B422" s="6" t="str">
        <f>"蒋丽平"</f>
        <v>蒋丽平</v>
      </c>
      <c r="C422" s="6" t="str">
        <f t="shared" si="20"/>
        <v>女</v>
      </c>
      <c r="D422" s="6" t="str">
        <f>"202115010106"</f>
        <v>202115010106</v>
      </c>
      <c r="E422" s="10" t="s">
        <v>20</v>
      </c>
      <c r="F422" s="6" t="s">
        <v>9</v>
      </c>
      <c r="G422" s="8">
        <v>46.8</v>
      </c>
      <c r="H422" s="6"/>
    </row>
    <row r="423" spans="1:8">
      <c r="A423" s="5">
        <v>296</v>
      </c>
      <c r="B423" s="6" t="str">
        <f>"刘玉娟"</f>
        <v>刘玉娟</v>
      </c>
      <c r="C423" s="6" t="str">
        <f t="shared" si="20"/>
        <v>女</v>
      </c>
      <c r="D423" s="6" t="str">
        <f>"202115010107"</f>
        <v>202115010107</v>
      </c>
      <c r="E423" s="10" t="s">
        <v>20</v>
      </c>
      <c r="F423" s="6" t="s">
        <v>9</v>
      </c>
      <c r="G423" s="8">
        <v>51.65</v>
      </c>
      <c r="H423" s="6"/>
    </row>
    <row r="424" spans="1:8">
      <c r="A424" s="5">
        <v>242</v>
      </c>
      <c r="B424" s="6" t="str">
        <f>"罗芳芳"</f>
        <v>罗芳芳</v>
      </c>
      <c r="C424" s="6" t="str">
        <f t="shared" si="20"/>
        <v>女</v>
      </c>
      <c r="D424" s="6" t="str">
        <f>"202115010108"</f>
        <v>202115010108</v>
      </c>
      <c r="E424" s="10" t="s">
        <v>20</v>
      </c>
      <c r="F424" s="6" t="s">
        <v>9</v>
      </c>
      <c r="G424" s="8">
        <v>66.05</v>
      </c>
      <c r="H424" s="6"/>
    </row>
    <row r="425" spans="1:8">
      <c r="A425" s="5">
        <v>230</v>
      </c>
      <c r="B425" s="6" t="str">
        <f>"刘晓"</f>
        <v>刘晓</v>
      </c>
      <c r="C425" s="6" t="str">
        <f t="shared" si="20"/>
        <v>女</v>
      </c>
      <c r="D425" s="6" t="str">
        <f>"202115010109"</f>
        <v>202115010109</v>
      </c>
      <c r="E425" s="10" t="s">
        <v>20</v>
      </c>
      <c r="F425" s="6" t="s">
        <v>9</v>
      </c>
      <c r="G425" s="8">
        <v>0</v>
      </c>
      <c r="H425" s="9">
        <v>1</v>
      </c>
    </row>
    <row r="426" spans="1:8">
      <c r="A426" s="5">
        <v>312</v>
      </c>
      <c r="B426" s="6" t="str">
        <f>" 严明"</f>
        <v>严明</v>
      </c>
      <c r="C426" s="6" t="str">
        <f t="shared" si="20"/>
        <v>女</v>
      </c>
      <c r="D426" s="6" t="str">
        <f>"202115010110"</f>
        <v>202115010110</v>
      </c>
      <c r="E426" s="10" t="s">
        <v>20</v>
      </c>
      <c r="F426" s="6" t="s">
        <v>9</v>
      </c>
      <c r="G426" s="8">
        <v>58.35</v>
      </c>
      <c r="H426" s="6"/>
    </row>
    <row r="427" spans="1:8">
      <c r="A427" s="5">
        <v>326</v>
      </c>
      <c r="B427" s="6" t="str">
        <f>"曾益武"</f>
        <v>曾益武</v>
      </c>
      <c r="C427" s="6" t="str">
        <f>"男"</f>
        <v>男</v>
      </c>
      <c r="D427" s="6" t="str">
        <f>"202115010111"</f>
        <v>202115010111</v>
      </c>
      <c r="E427" s="10" t="s">
        <v>20</v>
      </c>
      <c r="F427" s="6" t="s">
        <v>9</v>
      </c>
      <c r="G427" s="8">
        <v>52.15</v>
      </c>
      <c r="H427" s="6"/>
    </row>
    <row r="428" spans="1:8">
      <c r="A428" s="5">
        <v>401</v>
      </c>
      <c r="B428" s="6" t="str">
        <f>"陈成"</f>
        <v>陈成</v>
      </c>
      <c r="C428" s="6" t="str">
        <f>"女"</f>
        <v>女</v>
      </c>
      <c r="D428" s="6" t="str">
        <f>"202115010112"</f>
        <v>202115010112</v>
      </c>
      <c r="E428" s="10" t="s">
        <v>20</v>
      </c>
      <c r="F428" s="6" t="s">
        <v>9</v>
      </c>
      <c r="G428" s="8">
        <v>58.5</v>
      </c>
      <c r="H428" s="6"/>
    </row>
    <row r="429" spans="1:8">
      <c r="A429" s="5">
        <v>550</v>
      </c>
      <c r="B429" s="6" t="str">
        <f>"雷亚"</f>
        <v>雷亚</v>
      </c>
      <c r="C429" s="6" t="str">
        <f>"女"</f>
        <v>女</v>
      </c>
      <c r="D429" s="6" t="str">
        <f>"202115010113"</f>
        <v>202115010113</v>
      </c>
      <c r="E429" s="10" t="s">
        <v>20</v>
      </c>
      <c r="F429" s="6" t="s">
        <v>9</v>
      </c>
      <c r="G429" s="8">
        <v>55.9</v>
      </c>
      <c r="H429" s="6"/>
    </row>
    <row r="430" spans="1:8">
      <c r="A430" s="5">
        <v>543</v>
      </c>
      <c r="B430" s="6" t="str">
        <f>"袁丙洪"</f>
        <v>袁丙洪</v>
      </c>
      <c r="C430" s="6" t="str">
        <f>"男"</f>
        <v>男</v>
      </c>
      <c r="D430" s="6" t="str">
        <f>"202115010114"</f>
        <v>202115010114</v>
      </c>
      <c r="E430" s="10" t="s">
        <v>20</v>
      </c>
      <c r="F430" s="6" t="s">
        <v>9</v>
      </c>
      <c r="G430" s="8">
        <v>72.650000000000006</v>
      </c>
      <c r="H430" s="6"/>
    </row>
    <row r="431" spans="1:8">
      <c r="A431" s="5">
        <v>632</v>
      </c>
      <c r="B431" s="6" t="str">
        <f>"林巧清"</f>
        <v>林巧清</v>
      </c>
      <c r="C431" s="6" t="str">
        <f t="shared" ref="C431:C440" si="21">"女"</f>
        <v>女</v>
      </c>
      <c r="D431" s="6" t="str">
        <f>"202115010115"</f>
        <v>202115010115</v>
      </c>
      <c r="E431" s="10" t="s">
        <v>20</v>
      </c>
      <c r="F431" s="6" t="s">
        <v>9</v>
      </c>
      <c r="G431" s="8">
        <v>63.35</v>
      </c>
      <c r="H431" s="6"/>
    </row>
    <row r="432" spans="1:8">
      <c r="A432" s="5">
        <v>226</v>
      </c>
      <c r="B432" s="6" t="str">
        <f>"石奇花"</f>
        <v>石奇花</v>
      </c>
      <c r="C432" s="6" t="str">
        <f t="shared" si="21"/>
        <v>女</v>
      </c>
      <c r="D432" s="6" t="str">
        <f>"202115010116"</f>
        <v>202115010116</v>
      </c>
      <c r="E432" s="10" t="s">
        <v>20</v>
      </c>
      <c r="F432" s="6" t="s">
        <v>9</v>
      </c>
      <c r="G432" s="8">
        <v>56.25</v>
      </c>
      <c r="H432" s="6"/>
    </row>
    <row r="433" spans="1:8">
      <c r="A433" s="5">
        <v>264</v>
      </c>
      <c r="B433" s="6" t="str">
        <f>"康乐"</f>
        <v>康乐</v>
      </c>
      <c r="C433" s="6" t="str">
        <f t="shared" si="21"/>
        <v>女</v>
      </c>
      <c r="D433" s="6" t="str">
        <f>"202115010117"</f>
        <v>202115010117</v>
      </c>
      <c r="E433" s="10" t="s">
        <v>20</v>
      </c>
      <c r="F433" s="6" t="s">
        <v>9</v>
      </c>
      <c r="G433" s="8">
        <v>57.6</v>
      </c>
      <c r="H433" s="6"/>
    </row>
    <row r="434" spans="1:8">
      <c r="A434" s="5">
        <v>555</v>
      </c>
      <c r="B434" s="6" t="str">
        <f>"肖小梅"</f>
        <v>肖小梅</v>
      </c>
      <c r="C434" s="6" t="str">
        <f t="shared" si="21"/>
        <v>女</v>
      </c>
      <c r="D434" s="6" t="str">
        <f>"202115010118"</f>
        <v>202115010118</v>
      </c>
      <c r="E434" s="10" t="s">
        <v>20</v>
      </c>
      <c r="F434" s="6" t="s">
        <v>9</v>
      </c>
      <c r="G434" s="8">
        <v>66.25</v>
      </c>
      <c r="H434" s="6"/>
    </row>
    <row r="435" spans="1:8">
      <c r="A435" s="5">
        <v>319</v>
      </c>
      <c r="B435" s="6" t="str">
        <f>"匡坤奎"</f>
        <v>匡坤奎</v>
      </c>
      <c r="C435" s="6" t="str">
        <f t="shared" si="21"/>
        <v>女</v>
      </c>
      <c r="D435" s="6" t="str">
        <f>"202115010119"</f>
        <v>202115010119</v>
      </c>
      <c r="E435" s="10" t="s">
        <v>20</v>
      </c>
      <c r="F435" s="6" t="s">
        <v>9</v>
      </c>
      <c r="G435" s="8">
        <v>61.95</v>
      </c>
      <c r="H435" s="6"/>
    </row>
    <row r="436" spans="1:8">
      <c r="A436" s="5">
        <v>453</v>
      </c>
      <c r="B436" s="6" t="str">
        <f>"赵舒倩"</f>
        <v>赵舒倩</v>
      </c>
      <c r="C436" s="6" t="str">
        <f t="shared" si="21"/>
        <v>女</v>
      </c>
      <c r="D436" s="6" t="str">
        <f>"202115010120"</f>
        <v>202115010120</v>
      </c>
      <c r="E436" s="10" t="s">
        <v>20</v>
      </c>
      <c r="F436" s="6" t="s">
        <v>9</v>
      </c>
      <c r="G436" s="8">
        <v>60.1</v>
      </c>
      <c r="H436" s="6"/>
    </row>
    <row r="437" spans="1:8">
      <c r="A437" s="5">
        <v>681</v>
      </c>
      <c r="B437" s="6" t="str">
        <f>"徐兰"</f>
        <v>徐兰</v>
      </c>
      <c r="C437" s="6" t="str">
        <f t="shared" si="21"/>
        <v>女</v>
      </c>
      <c r="D437" s="6" t="str">
        <f>"202115010121"</f>
        <v>202115010121</v>
      </c>
      <c r="E437" s="10" t="s">
        <v>20</v>
      </c>
      <c r="F437" s="6" t="s">
        <v>9</v>
      </c>
      <c r="G437" s="8">
        <v>45.9</v>
      </c>
      <c r="H437" s="6"/>
    </row>
    <row r="438" spans="1:8">
      <c r="A438" s="5">
        <v>472</v>
      </c>
      <c r="B438" s="6" t="str">
        <f>"曾芳"</f>
        <v>曾芳</v>
      </c>
      <c r="C438" s="6" t="str">
        <f t="shared" si="21"/>
        <v>女</v>
      </c>
      <c r="D438" s="6" t="str">
        <f>"202115010122"</f>
        <v>202115010122</v>
      </c>
      <c r="E438" s="10" t="s">
        <v>20</v>
      </c>
      <c r="F438" s="6" t="s">
        <v>9</v>
      </c>
      <c r="G438" s="8">
        <v>50.85</v>
      </c>
      <c r="H438" s="6"/>
    </row>
    <row r="439" spans="1:8">
      <c r="A439" s="5">
        <v>411</v>
      </c>
      <c r="B439" s="6" t="str">
        <f>"曾琳颉"</f>
        <v>曾琳颉</v>
      </c>
      <c r="C439" s="6" t="str">
        <f t="shared" si="21"/>
        <v>女</v>
      </c>
      <c r="D439" s="6" t="str">
        <f>"202115010123"</f>
        <v>202115010123</v>
      </c>
      <c r="E439" s="10" t="s">
        <v>20</v>
      </c>
      <c r="F439" s="6" t="s">
        <v>9</v>
      </c>
      <c r="G439" s="8">
        <v>58.5</v>
      </c>
      <c r="H439" s="6"/>
    </row>
    <row r="440" spans="1:8">
      <c r="A440" s="5">
        <v>496</v>
      </c>
      <c r="B440" s="6" t="str">
        <f>"刘蕴仪"</f>
        <v>刘蕴仪</v>
      </c>
      <c r="C440" s="6" t="str">
        <f t="shared" si="21"/>
        <v>女</v>
      </c>
      <c r="D440" s="6" t="str">
        <f>"202115010124"</f>
        <v>202115010124</v>
      </c>
      <c r="E440" s="10" t="s">
        <v>20</v>
      </c>
      <c r="F440" s="6" t="s">
        <v>9</v>
      </c>
      <c r="G440" s="8">
        <v>57.95</v>
      </c>
      <c r="H440" s="6"/>
    </row>
    <row r="441" spans="1:8">
      <c r="A441" s="5">
        <v>417</v>
      </c>
      <c r="B441" s="6" t="str">
        <f>"李涛"</f>
        <v>李涛</v>
      </c>
      <c r="C441" s="6" t="str">
        <f>"男"</f>
        <v>男</v>
      </c>
      <c r="D441" s="6" t="str">
        <f>"202115010125"</f>
        <v>202115010125</v>
      </c>
      <c r="E441" s="10" t="s">
        <v>20</v>
      </c>
      <c r="F441" s="6" t="s">
        <v>9</v>
      </c>
      <c r="G441" s="8">
        <v>55.1</v>
      </c>
      <c r="H441" s="6"/>
    </row>
    <row r="442" spans="1:8">
      <c r="A442" s="5">
        <v>656</v>
      </c>
      <c r="B442" s="6" t="str">
        <f>"佘彦曼"</f>
        <v>佘彦曼</v>
      </c>
      <c r="C442" s="6" t="str">
        <f t="shared" ref="C442:C473" si="22">"女"</f>
        <v>女</v>
      </c>
      <c r="D442" s="6" t="str">
        <f>"202115010126"</f>
        <v>202115010126</v>
      </c>
      <c r="E442" s="10" t="s">
        <v>20</v>
      </c>
      <c r="F442" s="6" t="s">
        <v>9</v>
      </c>
      <c r="G442" s="8">
        <v>52.8</v>
      </c>
      <c r="H442" s="6"/>
    </row>
    <row r="443" spans="1:8">
      <c r="A443" s="5">
        <v>274</v>
      </c>
      <c r="B443" s="6" t="str">
        <f>"钟梓萱"</f>
        <v>钟梓萱</v>
      </c>
      <c r="C443" s="6" t="str">
        <f t="shared" si="22"/>
        <v>女</v>
      </c>
      <c r="D443" s="6" t="str">
        <f>"202115010127"</f>
        <v>202115010127</v>
      </c>
      <c r="E443" s="10" t="s">
        <v>20</v>
      </c>
      <c r="F443" s="6" t="s">
        <v>9</v>
      </c>
      <c r="G443" s="8">
        <v>54.9</v>
      </c>
      <c r="H443" s="6"/>
    </row>
    <row r="444" spans="1:8">
      <c r="A444" s="5">
        <v>661</v>
      </c>
      <c r="B444" s="6" t="str">
        <f>"罗湘娟"</f>
        <v>罗湘娟</v>
      </c>
      <c r="C444" s="6" t="str">
        <f t="shared" si="22"/>
        <v>女</v>
      </c>
      <c r="D444" s="6" t="str">
        <f>"202115010128"</f>
        <v>202115010128</v>
      </c>
      <c r="E444" s="10" t="s">
        <v>20</v>
      </c>
      <c r="F444" s="6" t="s">
        <v>9</v>
      </c>
      <c r="G444" s="8">
        <v>69.8</v>
      </c>
      <c r="H444" s="6"/>
    </row>
    <row r="445" spans="1:8">
      <c r="A445" s="5">
        <v>680</v>
      </c>
      <c r="B445" s="6" t="str">
        <f>"唐金花"</f>
        <v>唐金花</v>
      </c>
      <c r="C445" s="6" t="str">
        <f t="shared" si="22"/>
        <v>女</v>
      </c>
      <c r="D445" s="6" t="str">
        <f>"202115010129"</f>
        <v>202115010129</v>
      </c>
      <c r="E445" s="10" t="s">
        <v>20</v>
      </c>
      <c r="F445" s="6" t="s">
        <v>9</v>
      </c>
      <c r="G445" s="8">
        <v>57.15</v>
      </c>
      <c r="H445" s="6"/>
    </row>
    <row r="446" spans="1:8">
      <c r="A446" s="5">
        <v>645</v>
      </c>
      <c r="B446" s="6" t="str">
        <f>"曾旺娥"</f>
        <v>曾旺娥</v>
      </c>
      <c r="C446" s="6" t="str">
        <f t="shared" si="22"/>
        <v>女</v>
      </c>
      <c r="D446" s="6" t="str">
        <f>"202115010130"</f>
        <v>202115010130</v>
      </c>
      <c r="E446" s="10" t="s">
        <v>20</v>
      </c>
      <c r="F446" s="6" t="s">
        <v>9</v>
      </c>
      <c r="G446" s="8">
        <v>0</v>
      </c>
      <c r="H446" s="9">
        <v>1</v>
      </c>
    </row>
    <row r="447" spans="1:8">
      <c r="A447" s="5">
        <v>438</v>
      </c>
      <c r="B447" s="6" t="str">
        <f>"李娜"</f>
        <v>李娜</v>
      </c>
      <c r="C447" s="6" t="str">
        <f t="shared" si="22"/>
        <v>女</v>
      </c>
      <c r="D447" s="6" t="str">
        <f>"202115010201"</f>
        <v>202115010201</v>
      </c>
      <c r="E447" s="10" t="s">
        <v>20</v>
      </c>
      <c r="F447" s="6" t="s">
        <v>9</v>
      </c>
      <c r="G447" s="8">
        <v>49.5</v>
      </c>
      <c r="H447" s="6"/>
    </row>
    <row r="448" spans="1:8">
      <c r="A448" s="5">
        <v>626</v>
      </c>
      <c r="B448" s="6" t="str">
        <f>"刘宁"</f>
        <v>刘宁</v>
      </c>
      <c r="C448" s="6" t="str">
        <f t="shared" si="22"/>
        <v>女</v>
      </c>
      <c r="D448" s="6" t="str">
        <f>"202115010202"</f>
        <v>202115010202</v>
      </c>
      <c r="E448" s="10" t="s">
        <v>20</v>
      </c>
      <c r="F448" s="6" t="s">
        <v>9</v>
      </c>
      <c r="G448" s="8">
        <v>62.75</v>
      </c>
      <c r="H448" s="6"/>
    </row>
    <row r="449" spans="1:8">
      <c r="A449" s="5">
        <v>403</v>
      </c>
      <c r="B449" s="6" t="str">
        <f>"蒲燕"</f>
        <v>蒲燕</v>
      </c>
      <c r="C449" s="6" t="str">
        <f t="shared" si="22"/>
        <v>女</v>
      </c>
      <c r="D449" s="6" t="str">
        <f>"202115010203"</f>
        <v>202115010203</v>
      </c>
      <c r="E449" s="10" t="s">
        <v>20</v>
      </c>
      <c r="F449" s="6" t="s">
        <v>9</v>
      </c>
      <c r="G449" s="8">
        <v>52</v>
      </c>
      <c r="H449" s="6"/>
    </row>
    <row r="450" spans="1:8">
      <c r="A450" s="5">
        <v>539</v>
      </c>
      <c r="B450" s="6" t="str">
        <f>"何亚亚"</f>
        <v>何亚亚</v>
      </c>
      <c r="C450" s="6" t="str">
        <f t="shared" si="22"/>
        <v>女</v>
      </c>
      <c r="D450" s="6" t="str">
        <f>"202115010204"</f>
        <v>202115010204</v>
      </c>
      <c r="E450" s="10" t="s">
        <v>20</v>
      </c>
      <c r="F450" s="6" t="s">
        <v>9</v>
      </c>
      <c r="G450" s="8">
        <v>61.25</v>
      </c>
      <c r="H450" s="6"/>
    </row>
    <row r="451" spans="1:8">
      <c r="A451" s="5">
        <v>466</v>
      </c>
      <c r="B451" s="6" t="str">
        <f>"周禹辰"</f>
        <v>周禹辰</v>
      </c>
      <c r="C451" s="6" t="str">
        <f t="shared" si="22"/>
        <v>女</v>
      </c>
      <c r="D451" s="6" t="str">
        <f>"202115010205"</f>
        <v>202115010205</v>
      </c>
      <c r="E451" s="10" t="s">
        <v>20</v>
      </c>
      <c r="F451" s="6" t="s">
        <v>9</v>
      </c>
      <c r="G451" s="8">
        <v>69.849999999999994</v>
      </c>
      <c r="H451" s="6"/>
    </row>
    <row r="452" spans="1:8">
      <c r="A452" s="5">
        <v>611</v>
      </c>
      <c r="B452" s="6" t="str">
        <f>"周雷"</f>
        <v>周雷</v>
      </c>
      <c r="C452" s="6" t="str">
        <f t="shared" si="22"/>
        <v>女</v>
      </c>
      <c r="D452" s="6" t="str">
        <f>"202115010206"</f>
        <v>202115010206</v>
      </c>
      <c r="E452" s="10" t="s">
        <v>20</v>
      </c>
      <c r="F452" s="6" t="s">
        <v>9</v>
      </c>
      <c r="G452" s="8">
        <v>53</v>
      </c>
      <c r="H452" s="6"/>
    </row>
    <row r="453" spans="1:8">
      <c r="A453" s="5">
        <v>227</v>
      </c>
      <c r="B453" s="6" t="str">
        <f>"罗恬恬"</f>
        <v>罗恬恬</v>
      </c>
      <c r="C453" s="6" t="str">
        <f t="shared" si="22"/>
        <v>女</v>
      </c>
      <c r="D453" s="6" t="str">
        <f>"202115010207"</f>
        <v>202115010207</v>
      </c>
      <c r="E453" s="10" t="s">
        <v>20</v>
      </c>
      <c r="F453" s="6" t="s">
        <v>9</v>
      </c>
      <c r="G453" s="8">
        <v>0</v>
      </c>
      <c r="H453" s="9">
        <v>1</v>
      </c>
    </row>
    <row r="454" spans="1:8">
      <c r="A454" s="5">
        <v>303</v>
      </c>
      <c r="B454" s="6" t="str">
        <f>"谢雨琴"</f>
        <v>谢雨琴</v>
      </c>
      <c r="C454" s="6" t="str">
        <f t="shared" si="22"/>
        <v>女</v>
      </c>
      <c r="D454" s="6" t="str">
        <f>"202115010208"</f>
        <v>202115010208</v>
      </c>
      <c r="E454" s="10" t="s">
        <v>20</v>
      </c>
      <c r="F454" s="6" t="s">
        <v>9</v>
      </c>
      <c r="G454" s="8">
        <v>64.650000000000006</v>
      </c>
      <c r="H454" s="6"/>
    </row>
    <row r="455" spans="1:8">
      <c r="A455" s="5">
        <v>614</v>
      </c>
      <c r="B455" s="6" t="str">
        <f>"李来"</f>
        <v>李来</v>
      </c>
      <c r="C455" s="6" t="str">
        <f t="shared" si="22"/>
        <v>女</v>
      </c>
      <c r="D455" s="6" t="str">
        <f>"202115010209"</f>
        <v>202115010209</v>
      </c>
      <c r="E455" s="10" t="s">
        <v>20</v>
      </c>
      <c r="F455" s="6" t="s">
        <v>9</v>
      </c>
      <c r="G455" s="8">
        <v>60.6</v>
      </c>
      <c r="H455" s="6"/>
    </row>
    <row r="456" spans="1:8">
      <c r="A456" s="5">
        <v>446</v>
      </c>
      <c r="B456" s="6" t="str">
        <f>"焦湘芗"</f>
        <v>焦湘芗</v>
      </c>
      <c r="C456" s="6" t="str">
        <f t="shared" si="22"/>
        <v>女</v>
      </c>
      <c r="D456" s="6" t="str">
        <f>"202115010210"</f>
        <v>202115010210</v>
      </c>
      <c r="E456" s="10" t="s">
        <v>20</v>
      </c>
      <c r="F456" s="6" t="s">
        <v>9</v>
      </c>
      <c r="G456" s="8">
        <v>59.9</v>
      </c>
      <c r="H456" s="6"/>
    </row>
    <row r="457" spans="1:8">
      <c r="A457" s="5">
        <v>346</v>
      </c>
      <c r="B457" s="6" t="str">
        <f>"易佳旭"</f>
        <v>易佳旭</v>
      </c>
      <c r="C457" s="6" t="str">
        <f t="shared" si="22"/>
        <v>女</v>
      </c>
      <c r="D457" s="6" t="str">
        <f>"202115010211"</f>
        <v>202115010211</v>
      </c>
      <c r="E457" s="10" t="s">
        <v>20</v>
      </c>
      <c r="F457" s="6" t="s">
        <v>9</v>
      </c>
      <c r="G457" s="8">
        <v>0</v>
      </c>
      <c r="H457" s="9">
        <v>1</v>
      </c>
    </row>
    <row r="458" spans="1:8">
      <c r="A458" s="5">
        <v>559</v>
      </c>
      <c r="B458" s="6" t="str">
        <f>"钟静"</f>
        <v>钟静</v>
      </c>
      <c r="C458" s="6" t="str">
        <f t="shared" si="22"/>
        <v>女</v>
      </c>
      <c r="D458" s="6" t="str">
        <f>"202115010212"</f>
        <v>202115010212</v>
      </c>
      <c r="E458" s="10" t="s">
        <v>20</v>
      </c>
      <c r="F458" s="6" t="s">
        <v>9</v>
      </c>
      <c r="G458" s="8">
        <v>51.75</v>
      </c>
      <c r="H458" s="6"/>
    </row>
    <row r="459" spans="1:8">
      <c r="A459" s="5">
        <v>279</v>
      </c>
      <c r="B459" s="6" t="str">
        <f>"刘琳"</f>
        <v>刘琳</v>
      </c>
      <c r="C459" s="6" t="str">
        <f t="shared" si="22"/>
        <v>女</v>
      </c>
      <c r="D459" s="6" t="str">
        <f>"202115010213"</f>
        <v>202115010213</v>
      </c>
      <c r="E459" s="10" t="s">
        <v>20</v>
      </c>
      <c r="F459" s="6" t="s">
        <v>9</v>
      </c>
      <c r="G459" s="8">
        <v>64.650000000000006</v>
      </c>
      <c r="H459" s="6"/>
    </row>
    <row r="460" spans="1:8">
      <c r="A460" s="5">
        <v>499</v>
      </c>
      <c r="B460" s="6" t="str">
        <f>"张碧娟"</f>
        <v>张碧娟</v>
      </c>
      <c r="C460" s="6" t="str">
        <f t="shared" si="22"/>
        <v>女</v>
      </c>
      <c r="D460" s="6" t="str">
        <f>"202115010214"</f>
        <v>202115010214</v>
      </c>
      <c r="E460" s="10" t="s">
        <v>20</v>
      </c>
      <c r="F460" s="6" t="s">
        <v>9</v>
      </c>
      <c r="G460" s="8">
        <v>65.900000000000006</v>
      </c>
      <c r="H460" s="6"/>
    </row>
    <row r="461" spans="1:8">
      <c r="A461" s="5">
        <v>482</v>
      </c>
      <c r="B461" s="6" t="str">
        <f>"刘敏"</f>
        <v>刘敏</v>
      </c>
      <c r="C461" s="6" t="str">
        <f t="shared" si="22"/>
        <v>女</v>
      </c>
      <c r="D461" s="6" t="str">
        <f>"202115010215"</f>
        <v>202115010215</v>
      </c>
      <c r="E461" s="10" t="s">
        <v>20</v>
      </c>
      <c r="F461" s="6" t="s">
        <v>9</v>
      </c>
      <c r="G461" s="8">
        <v>64.150000000000006</v>
      </c>
      <c r="H461" s="6"/>
    </row>
    <row r="462" spans="1:8">
      <c r="A462" s="5">
        <v>634</v>
      </c>
      <c r="B462" s="6" t="str">
        <f>"卢净"</f>
        <v>卢净</v>
      </c>
      <c r="C462" s="6" t="str">
        <f t="shared" si="22"/>
        <v>女</v>
      </c>
      <c r="D462" s="6" t="str">
        <f>"202115010216"</f>
        <v>202115010216</v>
      </c>
      <c r="E462" s="10" t="s">
        <v>20</v>
      </c>
      <c r="F462" s="6" t="s">
        <v>9</v>
      </c>
      <c r="G462" s="8">
        <v>66.45</v>
      </c>
      <c r="H462" s="6"/>
    </row>
    <row r="463" spans="1:8">
      <c r="A463" s="5">
        <v>557</v>
      </c>
      <c r="B463" s="6" t="str">
        <f>"邓欣"</f>
        <v>邓欣</v>
      </c>
      <c r="C463" s="6" t="str">
        <f t="shared" si="22"/>
        <v>女</v>
      </c>
      <c r="D463" s="6" t="str">
        <f>"202115010217"</f>
        <v>202115010217</v>
      </c>
      <c r="E463" s="10" t="s">
        <v>20</v>
      </c>
      <c r="F463" s="6" t="s">
        <v>9</v>
      </c>
      <c r="G463" s="8">
        <v>63.8</v>
      </c>
      <c r="H463" s="6"/>
    </row>
    <row r="464" spans="1:8">
      <c r="A464" s="5">
        <v>668</v>
      </c>
      <c r="B464" s="6" t="str">
        <f>"刘良花"</f>
        <v>刘良花</v>
      </c>
      <c r="C464" s="6" t="str">
        <f t="shared" si="22"/>
        <v>女</v>
      </c>
      <c r="D464" s="6" t="str">
        <f>"202115010218"</f>
        <v>202115010218</v>
      </c>
      <c r="E464" s="10" t="s">
        <v>20</v>
      </c>
      <c r="F464" s="6" t="s">
        <v>9</v>
      </c>
      <c r="G464" s="8">
        <v>51.15</v>
      </c>
      <c r="H464" s="6"/>
    </row>
    <row r="465" spans="1:8">
      <c r="A465" s="5">
        <v>678</v>
      </c>
      <c r="B465" s="6" t="str">
        <f>"李英"</f>
        <v>李英</v>
      </c>
      <c r="C465" s="6" t="str">
        <f t="shared" si="22"/>
        <v>女</v>
      </c>
      <c r="D465" s="6" t="str">
        <f>"202115010219"</f>
        <v>202115010219</v>
      </c>
      <c r="E465" s="10" t="s">
        <v>20</v>
      </c>
      <c r="F465" s="6" t="s">
        <v>9</v>
      </c>
      <c r="G465" s="8">
        <v>66.55</v>
      </c>
      <c r="H465" s="6"/>
    </row>
    <row r="466" spans="1:8">
      <c r="A466" s="5">
        <v>306</v>
      </c>
      <c r="B466" s="6" t="str">
        <f>"唐艳"</f>
        <v>唐艳</v>
      </c>
      <c r="C466" s="6" t="str">
        <f t="shared" si="22"/>
        <v>女</v>
      </c>
      <c r="D466" s="6" t="str">
        <f>"202115010220"</f>
        <v>202115010220</v>
      </c>
      <c r="E466" s="10" t="s">
        <v>20</v>
      </c>
      <c r="F466" s="6" t="s">
        <v>9</v>
      </c>
      <c r="G466" s="8">
        <v>54.85</v>
      </c>
      <c r="H466" s="6"/>
    </row>
    <row r="467" spans="1:8">
      <c r="A467" s="5">
        <v>654</v>
      </c>
      <c r="B467" s="6" t="str">
        <f>"彭露"</f>
        <v>彭露</v>
      </c>
      <c r="C467" s="6" t="str">
        <f t="shared" si="22"/>
        <v>女</v>
      </c>
      <c r="D467" s="6" t="str">
        <f>"202115010221"</f>
        <v>202115010221</v>
      </c>
      <c r="E467" s="10" t="s">
        <v>20</v>
      </c>
      <c r="F467" s="6" t="s">
        <v>9</v>
      </c>
      <c r="G467" s="8">
        <v>65.400000000000006</v>
      </c>
      <c r="H467" s="6"/>
    </row>
    <row r="468" spans="1:8">
      <c r="A468" s="5">
        <v>356</v>
      </c>
      <c r="B468" s="6" t="str">
        <f>"曾海蓉"</f>
        <v>曾海蓉</v>
      </c>
      <c r="C468" s="6" t="str">
        <f t="shared" si="22"/>
        <v>女</v>
      </c>
      <c r="D468" s="6" t="str">
        <f>"202115010222"</f>
        <v>202115010222</v>
      </c>
      <c r="E468" s="10" t="s">
        <v>20</v>
      </c>
      <c r="F468" s="6" t="s">
        <v>9</v>
      </c>
      <c r="G468" s="8">
        <v>63.25</v>
      </c>
      <c r="H468" s="6"/>
    </row>
    <row r="469" spans="1:8">
      <c r="A469" s="5">
        <v>260</v>
      </c>
      <c r="B469" s="6" t="str">
        <f>"宁素珍"</f>
        <v>宁素珍</v>
      </c>
      <c r="C469" s="6" t="str">
        <f t="shared" si="22"/>
        <v>女</v>
      </c>
      <c r="D469" s="6" t="str">
        <f>"202115010223"</f>
        <v>202115010223</v>
      </c>
      <c r="E469" s="10" t="s">
        <v>20</v>
      </c>
      <c r="F469" s="6" t="s">
        <v>9</v>
      </c>
      <c r="G469" s="8">
        <v>59.75</v>
      </c>
      <c r="H469" s="6"/>
    </row>
    <row r="470" spans="1:8">
      <c r="A470" s="5">
        <v>408</v>
      </c>
      <c r="B470" s="6" t="str">
        <f>"黄晰"</f>
        <v>黄晰</v>
      </c>
      <c r="C470" s="6" t="str">
        <f t="shared" si="22"/>
        <v>女</v>
      </c>
      <c r="D470" s="6" t="str">
        <f>"202115010224"</f>
        <v>202115010224</v>
      </c>
      <c r="E470" s="10" t="s">
        <v>20</v>
      </c>
      <c r="F470" s="6" t="s">
        <v>9</v>
      </c>
      <c r="G470" s="8">
        <v>58.8</v>
      </c>
      <c r="H470" s="6"/>
    </row>
    <row r="471" spans="1:8">
      <c r="A471" s="5">
        <v>246</v>
      </c>
      <c r="B471" s="6" t="str">
        <f>"李茜"</f>
        <v>李茜</v>
      </c>
      <c r="C471" s="6" t="str">
        <f t="shared" si="22"/>
        <v>女</v>
      </c>
      <c r="D471" s="6" t="str">
        <f>"202115010225"</f>
        <v>202115010225</v>
      </c>
      <c r="E471" s="10" t="s">
        <v>20</v>
      </c>
      <c r="F471" s="6" t="s">
        <v>9</v>
      </c>
      <c r="G471" s="8">
        <v>56.6</v>
      </c>
      <c r="H471" s="6"/>
    </row>
    <row r="472" spans="1:8">
      <c r="A472" s="5">
        <v>328</v>
      </c>
      <c r="B472" s="6" t="str">
        <f>"易买"</f>
        <v>易买</v>
      </c>
      <c r="C472" s="6" t="str">
        <f t="shared" si="22"/>
        <v>女</v>
      </c>
      <c r="D472" s="6" t="str">
        <f>"202115010226"</f>
        <v>202115010226</v>
      </c>
      <c r="E472" s="10" t="s">
        <v>20</v>
      </c>
      <c r="F472" s="6" t="s">
        <v>9</v>
      </c>
      <c r="G472" s="8">
        <v>54.2</v>
      </c>
      <c r="H472" s="6"/>
    </row>
    <row r="473" spans="1:8">
      <c r="A473" s="5">
        <v>599</v>
      </c>
      <c r="B473" s="6" t="str">
        <f>"肖丽艳"</f>
        <v>肖丽艳</v>
      </c>
      <c r="C473" s="6" t="str">
        <f t="shared" si="22"/>
        <v>女</v>
      </c>
      <c r="D473" s="6" t="str">
        <f>"202115010227"</f>
        <v>202115010227</v>
      </c>
      <c r="E473" s="10" t="s">
        <v>20</v>
      </c>
      <c r="F473" s="6" t="s">
        <v>9</v>
      </c>
      <c r="G473" s="8">
        <v>60.75</v>
      </c>
      <c r="H473" s="6"/>
    </row>
    <row r="474" spans="1:8">
      <c r="A474" s="5">
        <v>268</v>
      </c>
      <c r="B474" s="6" t="str">
        <f>"彭莉"</f>
        <v>彭莉</v>
      </c>
      <c r="C474" s="6" t="str">
        <f t="shared" ref="C474:C505" si="23">"女"</f>
        <v>女</v>
      </c>
      <c r="D474" s="6" t="str">
        <f>"202115010228"</f>
        <v>202115010228</v>
      </c>
      <c r="E474" s="10" t="s">
        <v>20</v>
      </c>
      <c r="F474" s="6" t="s">
        <v>9</v>
      </c>
      <c r="G474" s="8">
        <v>60</v>
      </c>
      <c r="H474" s="6"/>
    </row>
    <row r="475" spans="1:8">
      <c r="A475" s="5">
        <v>387</v>
      </c>
      <c r="B475" s="6" t="str">
        <f>"肖红叶"</f>
        <v>肖红叶</v>
      </c>
      <c r="C475" s="6" t="str">
        <f t="shared" si="23"/>
        <v>女</v>
      </c>
      <c r="D475" s="6" t="str">
        <f>"202115010229"</f>
        <v>202115010229</v>
      </c>
      <c r="E475" s="10" t="s">
        <v>20</v>
      </c>
      <c r="F475" s="6" t="s">
        <v>9</v>
      </c>
      <c r="G475" s="8">
        <v>67.7</v>
      </c>
      <c r="H475" s="6"/>
    </row>
    <row r="476" spans="1:8">
      <c r="A476" s="5">
        <v>381</v>
      </c>
      <c r="B476" s="6" t="str">
        <f>"陈晓芹"</f>
        <v>陈晓芹</v>
      </c>
      <c r="C476" s="6" t="str">
        <f t="shared" si="23"/>
        <v>女</v>
      </c>
      <c r="D476" s="6" t="str">
        <f>"202115010230"</f>
        <v>202115010230</v>
      </c>
      <c r="E476" s="10" t="s">
        <v>20</v>
      </c>
      <c r="F476" s="6" t="s">
        <v>9</v>
      </c>
      <c r="G476" s="8">
        <v>66.599999999999994</v>
      </c>
      <c r="H476" s="6"/>
    </row>
    <row r="477" spans="1:8">
      <c r="A477" s="5">
        <v>245</v>
      </c>
      <c r="B477" s="6" t="str">
        <f>"何高祥"</f>
        <v>何高祥</v>
      </c>
      <c r="C477" s="6" t="str">
        <f t="shared" si="23"/>
        <v>女</v>
      </c>
      <c r="D477" s="6" t="str">
        <f>"202115010301"</f>
        <v>202115010301</v>
      </c>
      <c r="E477" s="10" t="s">
        <v>20</v>
      </c>
      <c r="F477" s="6" t="s">
        <v>9</v>
      </c>
      <c r="G477" s="8">
        <v>0</v>
      </c>
      <c r="H477" s="9">
        <v>1</v>
      </c>
    </row>
    <row r="478" spans="1:8">
      <c r="A478" s="5">
        <v>419</v>
      </c>
      <c r="B478" s="6" t="str">
        <f>"李嫱"</f>
        <v>李嫱</v>
      </c>
      <c r="C478" s="6" t="str">
        <f t="shared" si="23"/>
        <v>女</v>
      </c>
      <c r="D478" s="6" t="str">
        <f>"202115010302"</f>
        <v>202115010302</v>
      </c>
      <c r="E478" s="10" t="s">
        <v>20</v>
      </c>
      <c r="F478" s="6" t="s">
        <v>9</v>
      </c>
      <c r="G478" s="8">
        <v>0</v>
      </c>
      <c r="H478" s="9">
        <v>1</v>
      </c>
    </row>
    <row r="479" spans="1:8">
      <c r="A479" s="5">
        <v>494</v>
      </c>
      <c r="B479" s="6" t="str">
        <f>"邓海艳"</f>
        <v>邓海艳</v>
      </c>
      <c r="C479" s="6" t="str">
        <f t="shared" si="23"/>
        <v>女</v>
      </c>
      <c r="D479" s="6" t="str">
        <f>"202115010303"</f>
        <v>202115010303</v>
      </c>
      <c r="E479" s="10" t="s">
        <v>20</v>
      </c>
      <c r="F479" s="6" t="s">
        <v>9</v>
      </c>
      <c r="G479" s="8">
        <v>51.5</v>
      </c>
      <c r="H479" s="6"/>
    </row>
    <row r="480" spans="1:8">
      <c r="A480" s="5">
        <v>629</v>
      </c>
      <c r="B480" s="6" t="str">
        <f>"付紫烨"</f>
        <v>付紫烨</v>
      </c>
      <c r="C480" s="6" t="str">
        <f t="shared" si="23"/>
        <v>女</v>
      </c>
      <c r="D480" s="6" t="str">
        <f>"202115010304"</f>
        <v>202115010304</v>
      </c>
      <c r="E480" s="10" t="s">
        <v>20</v>
      </c>
      <c r="F480" s="6" t="s">
        <v>9</v>
      </c>
      <c r="G480" s="8">
        <v>56.6</v>
      </c>
      <c r="H480" s="6"/>
    </row>
    <row r="481" spans="1:8">
      <c r="A481" s="5">
        <v>271</v>
      </c>
      <c r="B481" s="6" t="str">
        <f>"马艺菲"</f>
        <v>马艺菲</v>
      </c>
      <c r="C481" s="6" t="str">
        <f t="shared" si="23"/>
        <v>女</v>
      </c>
      <c r="D481" s="6" t="str">
        <f>"202115010305"</f>
        <v>202115010305</v>
      </c>
      <c r="E481" s="10" t="s">
        <v>20</v>
      </c>
      <c r="F481" s="6" t="s">
        <v>9</v>
      </c>
      <c r="G481" s="8">
        <v>44.65</v>
      </c>
      <c r="H481" s="6"/>
    </row>
    <row r="482" spans="1:8">
      <c r="A482" s="5">
        <v>521</v>
      </c>
      <c r="B482" s="6" t="str">
        <f>"洪丽"</f>
        <v>洪丽</v>
      </c>
      <c r="C482" s="6" t="str">
        <f t="shared" si="23"/>
        <v>女</v>
      </c>
      <c r="D482" s="6" t="str">
        <f>"202115010306"</f>
        <v>202115010306</v>
      </c>
      <c r="E482" s="10" t="s">
        <v>20</v>
      </c>
      <c r="F482" s="6" t="s">
        <v>9</v>
      </c>
      <c r="G482" s="8">
        <v>59.25</v>
      </c>
      <c r="H482" s="6"/>
    </row>
    <row r="483" spans="1:8">
      <c r="A483" s="5">
        <v>515</v>
      </c>
      <c r="B483" s="6" t="str">
        <f>"陈燕"</f>
        <v>陈燕</v>
      </c>
      <c r="C483" s="6" t="str">
        <f t="shared" si="23"/>
        <v>女</v>
      </c>
      <c r="D483" s="6" t="str">
        <f>"202115010307"</f>
        <v>202115010307</v>
      </c>
      <c r="E483" s="10" t="s">
        <v>20</v>
      </c>
      <c r="F483" s="6" t="s">
        <v>9</v>
      </c>
      <c r="G483" s="8">
        <v>52.75</v>
      </c>
      <c r="H483" s="6"/>
    </row>
    <row r="484" spans="1:8">
      <c r="A484" s="5">
        <v>362</v>
      </c>
      <c r="B484" s="6" t="str">
        <f>"石贞义"</f>
        <v>石贞义</v>
      </c>
      <c r="C484" s="6" t="str">
        <f t="shared" si="23"/>
        <v>女</v>
      </c>
      <c r="D484" s="6" t="str">
        <f>"202115010308"</f>
        <v>202115010308</v>
      </c>
      <c r="E484" s="10" t="s">
        <v>20</v>
      </c>
      <c r="F484" s="6" t="s">
        <v>9</v>
      </c>
      <c r="G484" s="8">
        <v>64.3</v>
      </c>
      <c r="H484" s="6"/>
    </row>
    <row r="485" spans="1:8">
      <c r="A485" s="5">
        <v>421</v>
      </c>
      <c r="B485" s="6" t="str">
        <f>"王菲菲"</f>
        <v>王菲菲</v>
      </c>
      <c r="C485" s="6" t="str">
        <f t="shared" si="23"/>
        <v>女</v>
      </c>
      <c r="D485" s="6" t="str">
        <f>"202115010309"</f>
        <v>202115010309</v>
      </c>
      <c r="E485" s="10" t="s">
        <v>20</v>
      </c>
      <c r="F485" s="6" t="s">
        <v>9</v>
      </c>
      <c r="G485" s="8">
        <v>60.8</v>
      </c>
      <c r="H485" s="6"/>
    </row>
    <row r="486" spans="1:8">
      <c r="A486" s="5">
        <v>365</v>
      </c>
      <c r="B486" s="6" t="str">
        <f>"管顺利"</f>
        <v>管顺利</v>
      </c>
      <c r="C486" s="6" t="str">
        <f t="shared" si="23"/>
        <v>女</v>
      </c>
      <c r="D486" s="6" t="str">
        <f>"202115010310"</f>
        <v>202115010310</v>
      </c>
      <c r="E486" s="10" t="s">
        <v>20</v>
      </c>
      <c r="F486" s="6" t="s">
        <v>9</v>
      </c>
      <c r="G486" s="8">
        <v>0</v>
      </c>
      <c r="H486" s="9">
        <v>1</v>
      </c>
    </row>
    <row r="487" spans="1:8">
      <c r="A487" s="5">
        <v>672</v>
      </c>
      <c r="B487" s="6" t="str">
        <f>"马依洁"</f>
        <v>马依洁</v>
      </c>
      <c r="C487" s="6" t="str">
        <f t="shared" si="23"/>
        <v>女</v>
      </c>
      <c r="D487" s="6" t="str">
        <f>"202115010311"</f>
        <v>202115010311</v>
      </c>
      <c r="E487" s="10" t="s">
        <v>20</v>
      </c>
      <c r="F487" s="6" t="s">
        <v>9</v>
      </c>
      <c r="G487" s="8">
        <v>56</v>
      </c>
      <c r="H487" s="6"/>
    </row>
    <row r="488" spans="1:8">
      <c r="A488" s="5">
        <v>569</v>
      </c>
      <c r="B488" s="6" t="str">
        <f>"夏倩"</f>
        <v>夏倩</v>
      </c>
      <c r="C488" s="6" t="str">
        <f t="shared" si="23"/>
        <v>女</v>
      </c>
      <c r="D488" s="6" t="str">
        <f>"202115010312"</f>
        <v>202115010312</v>
      </c>
      <c r="E488" s="10" t="s">
        <v>20</v>
      </c>
      <c r="F488" s="6" t="s">
        <v>9</v>
      </c>
      <c r="G488" s="8">
        <v>62.1</v>
      </c>
      <c r="H488" s="6"/>
    </row>
    <row r="489" spans="1:8">
      <c r="A489" s="5">
        <v>573</v>
      </c>
      <c r="B489" s="6" t="str">
        <f>"贺艳平"</f>
        <v>贺艳平</v>
      </c>
      <c r="C489" s="6" t="str">
        <f t="shared" si="23"/>
        <v>女</v>
      </c>
      <c r="D489" s="6" t="str">
        <f>"202115010313"</f>
        <v>202115010313</v>
      </c>
      <c r="E489" s="10" t="s">
        <v>20</v>
      </c>
      <c r="F489" s="6" t="s">
        <v>9</v>
      </c>
      <c r="G489" s="8">
        <v>69.400000000000006</v>
      </c>
      <c r="H489" s="6"/>
    </row>
    <row r="490" spans="1:8">
      <c r="A490" s="5">
        <v>598</v>
      </c>
      <c r="B490" s="6" t="str">
        <f>"张彬莹"</f>
        <v>张彬莹</v>
      </c>
      <c r="C490" s="6" t="str">
        <f t="shared" si="23"/>
        <v>女</v>
      </c>
      <c r="D490" s="6" t="str">
        <f>"202115010314"</f>
        <v>202115010314</v>
      </c>
      <c r="E490" s="10" t="s">
        <v>20</v>
      </c>
      <c r="F490" s="6" t="s">
        <v>9</v>
      </c>
      <c r="G490" s="8">
        <v>59.35</v>
      </c>
      <c r="H490" s="6"/>
    </row>
    <row r="491" spans="1:8">
      <c r="A491" s="5">
        <v>447</v>
      </c>
      <c r="B491" s="6" t="str">
        <f>"黄艳"</f>
        <v>黄艳</v>
      </c>
      <c r="C491" s="6" t="str">
        <f t="shared" si="23"/>
        <v>女</v>
      </c>
      <c r="D491" s="6" t="str">
        <f>"202115010315"</f>
        <v>202115010315</v>
      </c>
      <c r="E491" s="10" t="s">
        <v>20</v>
      </c>
      <c r="F491" s="6" t="s">
        <v>9</v>
      </c>
      <c r="G491" s="8">
        <v>0</v>
      </c>
      <c r="H491" s="9">
        <v>1</v>
      </c>
    </row>
    <row r="492" spans="1:8">
      <c r="A492" s="5">
        <v>464</v>
      </c>
      <c r="B492" s="6" t="str">
        <f>"刘伟"</f>
        <v>刘伟</v>
      </c>
      <c r="C492" s="6" t="str">
        <f t="shared" si="23"/>
        <v>女</v>
      </c>
      <c r="D492" s="6" t="str">
        <f>"202115010316"</f>
        <v>202115010316</v>
      </c>
      <c r="E492" s="10" t="s">
        <v>20</v>
      </c>
      <c r="F492" s="6" t="s">
        <v>9</v>
      </c>
      <c r="G492" s="8">
        <v>59</v>
      </c>
      <c r="H492" s="6"/>
    </row>
    <row r="493" spans="1:8">
      <c r="A493" s="5">
        <v>269</v>
      </c>
      <c r="B493" s="6" t="str">
        <f>"彭悠"</f>
        <v>彭悠</v>
      </c>
      <c r="C493" s="6" t="str">
        <f t="shared" si="23"/>
        <v>女</v>
      </c>
      <c r="D493" s="6" t="str">
        <f>"202115010317"</f>
        <v>202115010317</v>
      </c>
      <c r="E493" s="10" t="s">
        <v>20</v>
      </c>
      <c r="F493" s="6" t="s">
        <v>9</v>
      </c>
      <c r="G493" s="8">
        <v>60.75</v>
      </c>
      <c r="H493" s="6"/>
    </row>
    <row r="494" spans="1:8">
      <c r="A494" s="5">
        <v>344</v>
      </c>
      <c r="B494" s="6" t="str">
        <f>"郭敏娜"</f>
        <v>郭敏娜</v>
      </c>
      <c r="C494" s="6" t="str">
        <f t="shared" si="23"/>
        <v>女</v>
      </c>
      <c r="D494" s="6" t="str">
        <f>"202115010318"</f>
        <v>202115010318</v>
      </c>
      <c r="E494" s="10" t="s">
        <v>20</v>
      </c>
      <c r="F494" s="6" t="s">
        <v>9</v>
      </c>
      <c r="G494" s="8">
        <v>62.25</v>
      </c>
      <c r="H494" s="6"/>
    </row>
    <row r="495" spans="1:8">
      <c r="A495" s="5">
        <v>315</v>
      </c>
      <c r="B495" s="6" t="str">
        <f>"刘育佐"</f>
        <v>刘育佐</v>
      </c>
      <c r="C495" s="6" t="str">
        <f t="shared" si="23"/>
        <v>女</v>
      </c>
      <c r="D495" s="6" t="str">
        <f>"202115010319"</f>
        <v>202115010319</v>
      </c>
      <c r="E495" s="10" t="s">
        <v>20</v>
      </c>
      <c r="F495" s="6" t="s">
        <v>9</v>
      </c>
      <c r="G495" s="8">
        <v>64.099999999999994</v>
      </c>
      <c r="H495" s="6"/>
    </row>
    <row r="496" spans="1:8">
      <c r="A496" s="5">
        <v>416</v>
      </c>
      <c r="B496" s="6" t="str">
        <f>"谢丽萍"</f>
        <v>谢丽萍</v>
      </c>
      <c r="C496" s="6" t="str">
        <f t="shared" si="23"/>
        <v>女</v>
      </c>
      <c r="D496" s="6" t="str">
        <f>"202115010320"</f>
        <v>202115010320</v>
      </c>
      <c r="E496" s="10" t="s">
        <v>20</v>
      </c>
      <c r="F496" s="6" t="s">
        <v>9</v>
      </c>
      <c r="G496" s="8">
        <v>57.3</v>
      </c>
      <c r="H496" s="6"/>
    </row>
    <row r="497" spans="1:8">
      <c r="A497" s="5">
        <v>584</v>
      </c>
      <c r="B497" s="6" t="str">
        <f>"廖素婷"</f>
        <v>廖素婷</v>
      </c>
      <c r="C497" s="6" t="str">
        <f t="shared" si="23"/>
        <v>女</v>
      </c>
      <c r="D497" s="6" t="str">
        <f>"202115010321"</f>
        <v>202115010321</v>
      </c>
      <c r="E497" s="10" t="s">
        <v>20</v>
      </c>
      <c r="F497" s="6" t="s">
        <v>9</v>
      </c>
      <c r="G497" s="8">
        <v>57.1</v>
      </c>
      <c r="H497" s="6"/>
    </row>
    <row r="498" spans="1:8">
      <c r="A498" s="5">
        <v>333</v>
      </c>
      <c r="B498" s="6" t="str">
        <f>"向琴"</f>
        <v>向琴</v>
      </c>
      <c r="C498" s="6" t="str">
        <f t="shared" si="23"/>
        <v>女</v>
      </c>
      <c r="D498" s="6" t="str">
        <f>"202115010322"</f>
        <v>202115010322</v>
      </c>
      <c r="E498" s="10" t="s">
        <v>20</v>
      </c>
      <c r="F498" s="6" t="s">
        <v>9</v>
      </c>
      <c r="G498" s="8">
        <v>51.9</v>
      </c>
      <c r="H498" s="6"/>
    </row>
    <row r="499" spans="1:8">
      <c r="A499" s="5">
        <v>564</v>
      </c>
      <c r="B499" s="6" t="str">
        <f>"肖嘉怡"</f>
        <v>肖嘉怡</v>
      </c>
      <c r="C499" s="6" t="str">
        <f t="shared" si="23"/>
        <v>女</v>
      </c>
      <c r="D499" s="6" t="str">
        <f>"202115010323"</f>
        <v>202115010323</v>
      </c>
      <c r="E499" s="10" t="s">
        <v>20</v>
      </c>
      <c r="F499" s="6" t="s">
        <v>9</v>
      </c>
      <c r="G499" s="8">
        <v>71.5</v>
      </c>
      <c r="H499" s="6"/>
    </row>
    <row r="500" spans="1:8">
      <c r="A500" s="5">
        <v>414</v>
      </c>
      <c r="B500" s="6" t="str">
        <f>"王石伦"</f>
        <v>王石伦</v>
      </c>
      <c r="C500" s="6" t="str">
        <f t="shared" si="23"/>
        <v>女</v>
      </c>
      <c r="D500" s="6" t="str">
        <f>"202115010324"</f>
        <v>202115010324</v>
      </c>
      <c r="E500" s="10" t="s">
        <v>20</v>
      </c>
      <c r="F500" s="6" t="s">
        <v>9</v>
      </c>
      <c r="G500" s="8">
        <v>60.05</v>
      </c>
      <c r="H500" s="6"/>
    </row>
    <row r="501" spans="1:8">
      <c r="A501" s="5">
        <v>636</v>
      </c>
      <c r="B501" s="6" t="str">
        <f>"徐瑾明"</f>
        <v>徐瑾明</v>
      </c>
      <c r="C501" s="6" t="str">
        <f t="shared" si="23"/>
        <v>女</v>
      </c>
      <c r="D501" s="6" t="str">
        <f>"202115010325"</f>
        <v>202115010325</v>
      </c>
      <c r="E501" s="10" t="s">
        <v>20</v>
      </c>
      <c r="F501" s="6" t="s">
        <v>9</v>
      </c>
      <c r="G501" s="8">
        <v>55.25</v>
      </c>
      <c r="H501" s="6"/>
    </row>
    <row r="502" spans="1:8">
      <c r="A502" s="5">
        <v>265</v>
      </c>
      <c r="B502" s="6" t="str">
        <f>"李茜琴"</f>
        <v>李茜琴</v>
      </c>
      <c r="C502" s="6" t="str">
        <f t="shared" si="23"/>
        <v>女</v>
      </c>
      <c r="D502" s="6" t="str">
        <f>"202115010326"</f>
        <v>202115010326</v>
      </c>
      <c r="E502" s="10" t="s">
        <v>20</v>
      </c>
      <c r="F502" s="6" t="s">
        <v>9</v>
      </c>
      <c r="G502" s="8">
        <v>43.95</v>
      </c>
      <c r="H502" s="6"/>
    </row>
    <row r="503" spans="1:8">
      <c r="A503" s="5">
        <v>398</v>
      </c>
      <c r="B503" s="6" t="str">
        <f>"李亚男"</f>
        <v>李亚男</v>
      </c>
      <c r="C503" s="6" t="str">
        <f t="shared" si="23"/>
        <v>女</v>
      </c>
      <c r="D503" s="6" t="str">
        <f>"202115010327"</f>
        <v>202115010327</v>
      </c>
      <c r="E503" s="10" t="s">
        <v>20</v>
      </c>
      <c r="F503" s="6" t="s">
        <v>9</v>
      </c>
      <c r="G503" s="8">
        <v>54.35</v>
      </c>
      <c r="H503" s="6"/>
    </row>
    <row r="504" spans="1:8">
      <c r="A504" s="5">
        <v>657</v>
      </c>
      <c r="B504" s="6" t="str">
        <f>"陆莹洁"</f>
        <v>陆莹洁</v>
      </c>
      <c r="C504" s="6" t="str">
        <f t="shared" si="23"/>
        <v>女</v>
      </c>
      <c r="D504" s="6" t="str">
        <f>"202115010328"</f>
        <v>202115010328</v>
      </c>
      <c r="E504" s="10" t="s">
        <v>20</v>
      </c>
      <c r="F504" s="6" t="s">
        <v>9</v>
      </c>
      <c r="G504" s="8">
        <v>58.3</v>
      </c>
      <c r="H504" s="6"/>
    </row>
    <row r="505" spans="1:8">
      <c r="A505" s="5">
        <v>607</v>
      </c>
      <c r="B505" s="6" t="str">
        <f>"黄心怡"</f>
        <v>黄心怡</v>
      </c>
      <c r="C505" s="6" t="str">
        <f t="shared" si="23"/>
        <v>女</v>
      </c>
      <c r="D505" s="6" t="str">
        <f>"202115010329"</f>
        <v>202115010329</v>
      </c>
      <c r="E505" s="10" t="s">
        <v>20</v>
      </c>
      <c r="F505" s="6" t="s">
        <v>9</v>
      </c>
      <c r="G505" s="8">
        <v>55.6</v>
      </c>
      <c r="H505" s="6"/>
    </row>
    <row r="506" spans="1:8">
      <c r="A506" s="5">
        <v>363</v>
      </c>
      <c r="B506" s="6" t="str">
        <f>"谢达"</f>
        <v>谢达</v>
      </c>
      <c r="C506" s="6" t="str">
        <f>"男"</f>
        <v>男</v>
      </c>
      <c r="D506" s="6" t="str">
        <f>"202115010330"</f>
        <v>202115010330</v>
      </c>
      <c r="E506" s="10" t="s">
        <v>20</v>
      </c>
      <c r="F506" s="6" t="s">
        <v>9</v>
      </c>
      <c r="G506" s="8">
        <v>52.35</v>
      </c>
      <c r="H506" s="6"/>
    </row>
    <row r="507" spans="1:8">
      <c r="A507" s="5">
        <v>323</v>
      </c>
      <c r="B507" s="6" t="str">
        <f>"周霞丰"</f>
        <v>周霞丰</v>
      </c>
      <c r="C507" s="6" t="str">
        <f t="shared" ref="C507:C542" si="24">"女"</f>
        <v>女</v>
      </c>
      <c r="D507" s="6" t="str">
        <f>"202115010401"</f>
        <v>202115010401</v>
      </c>
      <c r="E507" s="10" t="s">
        <v>20</v>
      </c>
      <c r="F507" s="6" t="s">
        <v>9</v>
      </c>
      <c r="G507" s="8">
        <v>53.1</v>
      </c>
      <c r="H507" s="6"/>
    </row>
    <row r="508" spans="1:8">
      <c r="A508" s="5">
        <v>487</v>
      </c>
      <c r="B508" s="6" t="str">
        <f>"阳帆"</f>
        <v>阳帆</v>
      </c>
      <c r="C508" s="6" t="str">
        <f t="shared" si="24"/>
        <v>女</v>
      </c>
      <c r="D508" s="6" t="str">
        <f>"202115010402"</f>
        <v>202115010402</v>
      </c>
      <c r="E508" s="10" t="s">
        <v>20</v>
      </c>
      <c r="F508" s="6" t="s">
        <v>9</v>
      </c>
      <c r="G508" s="8">
        <v>61.7</v>
      </c>
      <c r="H508" s="6"/>
    </row>
    <row r="509" spans="1:8">
      <c r="A509" s="5">
        <v>484</v>
      </c>
      <c r="B509" s="6" t="str">
        <f>"蒋婷君"</f>
        <v>蒋婷君</v>
      </c>
      <c r="C509" s="6" t="str">
        <f t="shared" si="24"/>
        <v>女</v>
      </c>
      <c r="D509" s="6" t="str">
        <f>"202115010403"</f>
        <v>202115010403</v>
      </c>
      <c r="E509" s="10" t="s">
        <v>20</v>
      </c>
      <c r="F509" s="6" t="s">
        <v>9</v>
      </c>
      <c r="G509" s="8">
        <v>0</v>
      </c>
      <c r="H509" s="9">
        <v>1</v>
      </c>
    </row>
    <row r="510" spans="1:8">
      <c r="A510" s="5">
        <v>592</v>
      </c>
      <c r="B510" s="6" t="str">
        <f>"杨蕾"</f>
        <v>杨蕾</v>
      </c>
      <c r="C510" s="6" t="str">
        <f t="shared" si="24"/>
        <v>女</v>
      </c>
      <c r="D510" s="6" t="str">
        <f>"202115010404"</f>
        <v>202115010404</v>
      </c>
      <c r="E510" s="10" t="s">
        <v>20</v>
      </c>
      <c r="F510" s="6" t="s">
        <v>9</v>
      </c>
      <c r="G510" s="8">
        <v>69.099999999999994</v>
      </c>
      <c r="H510" s="6"/>
    </row>
    <row r="511" spans="1:8">
      <c r="A511" s="5">
        <v>565</v>
      </c>
      <c r="B511" s="6" t="str">
        <f>"周嫄"</f>
        <v>周嫄</v>
      </c>
      <c r="C511" s="6" t="str">
        <f t="shared" si="24"/>
        <v>女</v>
      </c>
      <c r="D511" s="6" t="str">
        <f>"202115010405"</f>
        <v>202115010405</v>
      </c>
      <c r="E511" s="10" t="s">
        <v>20</v>
      </c>
      <c r="F511" s="6" t="s">
        <v>9</v>
      </c>
      <c r="G511" s="8">
        <v>59.4</v>
      </c>
      <c r="H511" s="6"/>
    </row>
    <row r="512" spans="1:8">
      <c r="A512" s="5">
        <v>570</v>
      </c>
      <c r="B512" s="6" t="str">
        <f>"蒋一鸣"</f>
        <v>蒋一鸣</v>
      </c>
      <c r="C512" s="6" t="str">
        <f t="shared" si="24"/>
        <v>女</v>
      </c>
      <c r="D512" s="6" t="str">
        <f>"202115010406"</f>
        <v>202115010406</v>
      </c>
      <c r="E512" s="10" t="s">
        <v>20</v>
      </c>
      <c r="F512" s="6" t="s">
        <v>9</v>
      </c>
      <c r="G512" s="8">
        <v>51.35</v>
      </c>
      <c r="H512" s="6"/>
    </row>
    <row r="513" spans="1:8">
      <c r="A513" s="5">
        <v>450</v>
      </c>
      <c r="B513" s="6" t="str">
        <f>"黄钰"</f>
        <v>黄钰</v>
      </c>
      <c r="C513" s="6" t="str">
        <f t="shared" si="24"/>
        <v>女</v>
      </c>
      <c r="D513" s="6" t="str">
        <f>"202115010407"</f>
        <v>202115010407</v>
      </c>
      <c r="E513" s="10" t="s">
        <v>20</v>
      </c>
      <c r="F513" s="6" t="s">
        <v>9</v>
      </c>
      <c r="G513" s="8">
        <v>55.3</v>
      </c>
      <c r="H513" s="6"/>
    </row>
    <row r="514" spans="1:8">
      <c r="A514" s="5">
        <v>660</v>
      </c>
      <c r="B514" s="6" t="str">
        <f>"林小慧"</f>
        <v>林小慧</v>
      </c>
      <c r="C514" s="6" t="str">
        <f t="shared" si="24"/>
        <v>女</v>
      </c>
      <c r="D514" s="6" t="str">
        <f>"202115010408"</f>
        <v>202115010408</v>
      </c>
      <c r="E514" s="10" t="s">
        <v>20</v>
      </c>
      <c r="F514" s="6" t="s">
        <v>9</v>
      </c>
      <c r="G514" s="8">
        <v>60.75</v>
      </c>
      <c r="H514" s="6"/>
    </row>
    <row r="515" spans="1:8">
      <c r="A515" s="5">
        <v>395</v>
      </c>
      <c r="B515" s="6" t="str">
        <f>"吕娣"</f>
        <v>吕娣</v>
      </c>
      <c r="C515" s="6" t="str">
        <f t="shared" si="24"/>
        <v>女</v>
      </c>
      <c r="D515" s="6" t="str">
        <f>"202115010409"</f>
        <v>202115010409</v>
      </c>
      <c r="E515" s="10" t="s">
        <v>20</v>
      </c>
      <c r="F515" s="6" t="s">
        <v>9</v>
      </c>
      <c r="G515" s="8">
        <v>60.85</v>
      </c>
      <c r="H515" s="6"/>
    </row>
    <row r="516" spans="1:8">
      <c r="A516" s="5">
        <v>490</v>
      </c>
      <c r="B516" s="6" t="str">
        <f>"李洪雨"</f>
        <v>李洪雨</v>
      </c>
      <c r="C516" s="6" t="str">
        <f t="shared" si="24"/>
        <v>女</v>
      </c>
      <c r="D516" s="6" t="str">
        <f>"202115010410"</f>
        <v>202115010410</v>
      </c>
      <c r="E516" s="10" t="s">
        <v>20</v>
      </c>
      <c r="F516" s="6" t="s">
        <v>9</v>
      </c>
      <c r="G516" s="8">
        <v>49.35</v>
      </c>
      <c r="H516" s="6"/>
    </row>
    <row r="517" spans="1:8">
      <c r="A517" s="5">
        <v>617</v>
      </c>
      <c r="B517" s="6" t="str">
        <f>"郭月娟"</f>
        <v>郭月娟</v>
      </c>
      <c r="C517" s="6" t="str">
        <f t="shared" si="24"/>
        <v>女</v>
      </c>
      <c r="D517" s="6" t="str">
        <f>"202115010411"</f>
        <v>202115010411</v>
      </c>
      <c r="E517" s="10" t="s">
        <v>20</v>
      </c>
      <c r="F517" s="6" t="s">
        <v>9</v>
      </c>
      <c r="G517" s="8">
        <v>72.5</v>
      </c>
      <c r="H517" s="6"/>
    </row>
    <row r="518" spans="1:8">
      <c r="A518" s="5">
        <v>422</v>
      </c>
      <c r="B518" s="6" t="str">
        <f>"唐雅芳"</f>
        <v>唐雅芳</v>
      </c>
      <c r="C518" s="6" t="str">
        <f t="shared" si="24"/>
        <v>女</v>
      </c>
      <c r="D518" s="6" t="str">
        <f>"202115010412"</f>
        <v>202115010412</v>
      </c>
      <c r="E518" s="10" t="s">
        <v>20</v>
      </c>
      <c r="F518" s="6" t="s">
        <v>9</v>
      </c>
      <c r="G518" s="8">
        <v>0</v>
      </c>
      <c r="H518" s="9">
        <v>1</v>
      </c>
    </row>
    <row r="519" spans="1:8">
      <c r="A519" s="5">
        <v>392</v>
      </c>
      <c r="B519" s="6" t="str">
        <f>"周传瑛"</f>
        <v>周传瑛</v>
      </c>
      <c r="C519" s="6" t="str">
        <f t="shared" si="24"/>
        <v>女</v>
      </c>
      <c r="D519" s="6" t="str">
        <f>"202115010413"</f>
        <v>202115010413</v>
      </c>
      <c r="E519" s="10" t="s">
        <v>20</v>
      </c>
      <c r="F519" s="6" t="s">
        <v>9</v>
      </c>
      <c r="G519" s="8">
        <v>54.95</v>
      </c>
      <c r="H519" s="6"/>
    </row>
    <row r="520" spans="1:8">
      <c r="A520" s="5">
        <v>541</v>
      </c>
      <c r="B520" s="6" t="str">
        <f>"唐谦"</f>
        <v>唐谦</v>
      </c>
      <c r="C520" s="6" t="str">
        <f t="shared" si="24"/>
        <v>女</v>
      </c>
      <c r="D520" s="6" t="str">
        <f>"202115010414"</f>
        <v>202115010414</v>
      </c>
      <c r="E520" s="10" t="s">
        <v>20</v>
      </c>
      <c r="F520" s="6" t="s">
        <v>9</v>
      </c>
      <c r="G520" s="8">
        <v>66.05</v>
      </c>
      <c r="H520" s="6"/>
    </row>
    <row r="521" spans="1:8">
      <c r="A521" s="5">
        <v>640</v>
      </c>
      <c r="B521" s="6" t="str">
        <f>"杨喜英"</f>
        <v>杨喜英</v>
      </c>
      <c r="C521" s="6" t="str">
        <f t="shared" si="24"/>
        <v>女</v>
      </c>
      <c r="D521" s="6" t="str">
        <f>"202115010415"</f>
        <v>202115010415</v>
      </c>
      <c r="E521" s="10" t="s">
        <v>20</v>
      </c>
      <c r="F521" s="6" t="s">
        <v>9</v>
      </c>
      <c r="G521" s="8">
        <v>53.45</v>
      </c>
      <c r="H521" s="6"/>
    </row>
    <row r="522" spans="1:8">
      <c r="A522" s="5">
        <v>587</v>
      </c>
      <c r="B522" s="6" t="str">
        <f>"毛彦珺"</f>
        <v>毛彦珺</v>
      </c>
      <c r="C522" s="6" t="str">
        <f t="shared" si="24"/>
        <v>女</v>
      </c>
      <c r="D522" s="6" t="str">
        <f>"202115010416"</f>
        <v>202115010416</v>
      </c>
      <c r="E522" s="10" t="s">
        <v>20</v>
      </c>
      <c r="F522" s="6" t="s">
        <v>9</v>
      </c>
      <c r="G522" s="8">
        <v>57.95</v>
      </c>
      <c r="H522" s="6"/>
    </row>
    <row r="523" spans="1:8">
      <c r="A523" s="5">
        <v>518</v>
      </c>
      <c r="B523" s="6" t="str">
        <f>"周可"</f>
        <v>周可</v>
      </c>
      <c r="C523" s="6" t="str">
        <f t="shared" si="24"/>
        <v>女</v>
      </c>
      <c r="D523" s="6" t="str">
        <f>"202115010417"</f>
        <v>202115010417</v>
      </c>
      <c r="E523" s="10" t="s">
        <v>20</v>
      </c>
      <c r="F523" s="6" t="s">
        <v>9</v>
      </c>
      <c r="G523" s="8">
        <v>61.3</v>
      </c>
      <c r="H523" s="6"/>
    </row>
    <row r="524" spans="1:8">
      <c r="A524" s="5">
        <v>527</v>
      </c>
      <c r="B524" s="6" t="str">
        <f>"隆嘉怡"</f>
        <v>隆嘉怡</v>
      </c>
      <c r="C524" s="6" t="str">
        <f t="shared" si="24"/>
        <v>女</v>
      </c>
      <c r="D524" s="6" t="str">
        <f>"202115010418"</f>
        <v>202115010418</v>
      </c>
      <c r="E524" s="10" t="s">
        <v>20</v>
      </c>
      <c r="F524" s="6" t="s">
        <v>9</v>
      </c>
      <c r="G524" s="8">
        <v>54.9</v>
      </c>
      <c r="H524" s="6"/>
    </row>
    <row r="525" spans="1:8">
      <c r="A525" s="5">
        <v>512</v>
      </c>
      <c r="B525" s="6" t="str">
        <f>"黄倩"</f>
        <v>黄倩</v>
      </c>
      <c r="C525" s="6" t="str">
        <f t="shared" si="24"/>
        <v>女</v>
      </c>
      <c r="D525" s="6" t="str">
        <f>"202115010419"</f>
        <v>202115010419</v>
      </c>
      <c r="E525" s="10" t="s">
        <v>20</v>
      </c>
      <c r="F525" s="6" t="s">
        <v>9</v>
      </c>
      <c r="G525" s="8">
        <v>60.75</v>
      </c>
      <c r="H525" s="6"/>
    </row>
    <row r="526" spans="1:8">
      <c r="A526" s="5">
        <v>551</v>
      </c>
      <c r="B526" s="6" t="str">
        <f>"龙亚男"</f>
        <v>龙亚男</v>
      </c>
      <c r="C526" s="6" t="str">
        <f t="shared" si="24"/>
        <v>女</v>
      </c>
      <c r="D526" s="6" t="str">
        <f>"202115010420"</f>
        <v>202115010420</v>
      </c>
      <c r="E526" s="10" t="s">
        <v>20</v>
      </c>
      <c r="F526" s="6" t="s">
        <v>9</v>
      </c>
      <c r="G526" s="8">
        <v>0</v>
      </c>
      <c r="H526" s="9">
        <v>1</v>
      </c>
    </row>
    <row r="527" spans="1:8">
      <c r="A527" s="5">
        <v>342</v>
      </c>
      <c r="B527" s="6" t="str">
        <f>"莫雨薇"</f>
        <v>莫雨薇</v>
      </c>
      <c r="C527" s="6" t="str">
        <f t="shared" si="24"/>
        <v>女</v>
      </c>
      <c r="D527" s="6" t="str">
        <f>"202115010421"</f>
        <v>202115010421</v>
      </c>
      <c r="E527" s="10" t="s">
        <v>20</v>
      </c>
      <c r="F527" s="6" t="s">
        <v>9</v>
      </c>
      <c r="G527" s="8">
        <v>50.65</v>
      </c>
      <c r="H527" s="6"/>
    </row>
    <row r="528" spans="1:8">
      <c r="A528" s="5">
        <v>548</v>
      </c>
      <c r="B528" s="6" t="str">
        <f>"刘纯竹"</f>
        <v>刘纯竹</v>
      </c>
      <c r="C528" s="6" t="str">
        <f t="shared" si="24"/>
        <v>女</v>
      </c>
      <c r="D528" s="6" t="str">
        <f>"202115010422"</f>
        <v>202115010422</v>
      </c>
      <c r="E528" s="10" t="s">
        <v>20</v>
      </c>
      <c r="F528" s="6" t="s">
        <v>9</v>
      </c>
      <c r="G528" s="8">
        <v>56.75</v>
      </c>
      <c r="H528" s="6"/>
    </row>
    <row r="529" spans="1:8">
      <c r="A529" s="5">
        <v>509</v>
      </c>
      <c r="B529" s="6" t="str">
        <f>"曾伊雯"</f>
        <v>曾伊雯</v>
      </c>
      <c r="C529" s="6" t="str">
        <f t="shared" si="24"/>
        <v>女</v>
      </c>
      <c r="D529" s="6" t="str">
        <f>"202115010423"</f>
        <v>202115010423</v>
      </c>
      <c r="E529" s="10" t="s">
        <v>20</v>
      </c>
      <c r="F529" s="6" t="s">
        <v>9</v>
      </c>
      <c r="G529" s="8">
        <v>60.25</v>
      </c>
      <c r="H529" s="6"/>
    </row>
    <row r="530" spans="1:8">
      <c r="A530" s="5">
        <v>339</v>
      </c>
      <c r="B530" s="6" t="str">
        <f>"李泓萱"</f>
        <v>李泓萱</v>
      </c>
      <c r="C530" s="6" t="str">
        <f t="shared" si="24"/>
        <v>女</v>
      </c>
      <c r="D530" s="6" t="str">
        <f>"202115010424"</f>
        <v>202115010424</v>
      </c>
      <c r="E530" s="10" t="s">
        <v>20</v>
      </c>
      <c r="F530" s="6" t="s">
        <v>9</v>
      </c>
      <c r="G530" s="8">
        <v>50.6</v>
      </c>
      <c r="H530" s="6"/>
    </row>
    <row r="531" spans="1:8">
      <c r="A531" s="5">
        <v>544</v>
      </c>
      <c r="B531" s="6" t="str">
        <f>"吕铭玉"</f>
        <v>吕铭玉</v>
      </c>
      <c r="C531" s="6" t="str">
        <f t="shared" si="24"/>
        <v>女</v>
      </c>
      <c r="D531" s="6" t="str">
        <f>"202115010425"</f>
        <v>202115010425</v>
      </c>
      <c r="E531" s="10" t="s">
        <v>20</v>
      </c>
      <c r="F531" s="6" t="s">
        <v>9</v>
      </c>
      <c r="G531" s="8">
        <v>51.95</v>
      </c>
      <c r="H531" s="6"/>
    </row>
    <row r="532" spans="1:8">
      <c r="A532" s="5">
        <v>619</v>
      </c>
      <c r="B532" s="6" t="str">
        <f>"肖晔"</f>
        <v>肖晔</v>
      </c>
      <c r="C532" s="6" t="str">
        <f t="shared" si="24"/>
        <v>女</v>
      </c>
      <c r="D532" s="6" t="str">
        <f>"202115010426"</f>
        <v>202115010426</v>
      </c>
      <c r="E532" s="10" t="s">
        <v>20</v>
      </c>
      <c r="F532" s="6" t="s">
        <v>9</v>
      </c>
      <c r="G532" s="8">
        <v>46</v>
      </c>
      <c r="H532" s="6"/>
    </row>
    <row r="533" spans="1:8">
      <c r="A533" s="5">
        <v>470</v>
      </c>
      <c r="B533" s="6" t="str">
        <f>"何杨凡"</f>
        <v>何杨凡</v>
      </c>
      <c r="C533" s="6" t="str">
        <f t="shared" si="24"/>
        <v>女</v>
      </c>
      <c r="D533" s="6" t="str">
        <f>"202115010427"</f>
        <v>202115010427</v>
      </c>
      <c r="E533" s="10" t="s">
        <v>20</v>
      </c>
      <c r="F533" s="6" t="s">
        <v>9</v>
      </c>
      <c r="G533" s="8">
        <v>71.3</v>
      </c>
      <c r="H533" s="6"/>
    </row>
    <row r="534" spans="1:8">
      <c r="A534" s="5">
        <v>489</v>
      </c>
      <c r="B534" s="6" t="str">
        <f>"黄亚运"</f>
        <v>黄亚运</v>
      </c>
      <c r="C534" s="6" t="str">
        <f t="shared" si="24"/>
        <v>女</v>
      </c>
      <c r="D534" s="6" t="str">
        <f>"202115010428"</f>
        <v>202115010428</v>
      </c>
      <c r="E534" s="10" t="s">
        <v>20</v>
      </c>
      <c r="F534" s="6" t="s">
        <v>9</v>
      </c>
      <c r="G534" s="8">
        <v>64.2</v>
      </c>
      <c r="H534" s="6"/>
    </row>
    <row r="535" spans="1:8">
      <c r="A535" s="5">
        <v>335</v>
      </c>
      <c r="B535" s="6" t="str">
        <f>"曾伶俐"</f>
        <v>曾伶俐</v>
      </c>
      <c r="C535" s="6" t="str">
        <f t="shared" si="24"/>
        <v>女</v>
      </c>
      <c r="D535" s="6" t="str">
        <f>"202115010429"</f>
        <v>202115010429</v>
      </c>
      <c r="E535" s="10" t="s">
        <v>20</v>
      </c>
      <c r="F535" s="6" t="s">
        <v>9</v>
      </c>
      <c r="G535" s="8">
        <v>50.55</v>
      </c>
      <c r="H535" s="6"/>
    </row>
    <row r="536" spans="1:8">
      <c r="A536" s="5">
        <v>311</v>
      </c>
      <c r="B536" s="6" t="str">
        <f>"李艳君"</f>
        <v>李艳君</v>
      </c>
      <c r="C536" s="6" t="str">
        <f t="shared" si="24"/>
        <v>女</v>
      </c>
      <c r="D536" s="6" t="str">
        <f>"202115010430"</f>
        <v>202115010430</v>
      </c>
      <c r="E536" s="10" t="s">
        <v>20</v>
      </c>
      <c r="F536" s="6" t="s">
        <v>9</v>
      </c>
      <c r="G536" s="8">
        <v>63.15</v>
      </c>
      <c r="H536" s="6"/>
    </row>
    <row r="537" spans="1:8">
      <c r="A537" s="5">
        <v>282</v>
      </c>
      <c r="B537" s="6" t="str">
        <f>"左稀琛"</f>
        <v>左稀琛</v>
      </c>
      <c r="C537" s="6" t="str">
        <f t="shared" si="24"/>
        <v>女</v>
      </c>
      <c r="D537" s="6" t="str">
        <f>"202115010501"</f>
        <v>202115010501</v>
      </c>
      <c r="E537" s="10" t="s">
        <v>20</v>
      </c>
      <c r="F537" s="6" t="s">
        <v>9</v>
      </c>
      <c r="G537" s="8">
        <v>50.3</v>
      </c>
      <c r="H537" s="6"/>
    </row>
    <row r="538" spans="1:8">
      <c r="A538" s="5">
        <v>524</v>
      </c>
      <c r="B538" s="6" t="str">
        <f>"袁丽臣"</f>
        <v>袁丽臣</v>
      </c>
      <c r="C538" s="6" t="str">
        <f t="shared" si="24"/>
        <v>女</v>
      </c>
      <c r="D538" s="6" t="str">
        <f>"202115010502"</f>
        <v>202115010502</v>
      </c>
      <c r="E538" s="10" t="s">
        <v>20</v>
      </c>
      <c r="F538" s="6" t="s">
        <v>9</v>
      </c>
      <c r="G538" s="8">
        <v>56</v>
      </c>
      <c r="H538" s="6"/>
    </row>
    <row r="539" spans="1:8">
      <c r="A539" s="5">
        <v>662</v>
      </c>
      <c r="B539" s="6" t="str">
        <f>"汪思瑶"</f>
        <v>汪思瑶</v>
      </c>
      <c r="C539" s="6" t="str">
        <f t="shared" si="24"/>
        <v>女</v>
      </c>
      <c r="D539" s="6" t="str">
        <f>"202115010503"</f>
        <v>202115010503</v>
      </c>
      <c r="E539" s="10" t="s">
        <v>20</v>
      </c>
      <c r="F539" s="6" t="s">
        <v>9</v>
      </c>
      <c r="G539" s="8">
        <v>58.2</v>
      </c>
      <c r="H539" s="6"/>
    </row>
    <row r="540" spans="1:8">
      <c r="A540" s="5">
        <v>425</v>
      </c>
      <c r="B540" s="6" t="str">
        <f>"袁丽"</f>
        <v>袁丽</v>
      </c>
      <c r="C540" s="6" t="str">
        <f t="shared" si="24"/>
        <v>女</v>
      </c>
      <c r="D540" s="6" t="str">
        <f>"202115010504"</f>
        <v>202115010504</v>
      </c>
      <c r="E540" s="10" t="s">
        <v>20</v>
      </c>
      <c r="F540" s="6" t="s">
        <v>9</v>
      </c>
      <c r="G540" s="8">
        <v>51.25</v>
      </c>
      <c r="H540" s="6"/>
    </row>
    <row r="541" spans="1:8">
      <c r="A541" s="5">
        <v>533</v>
      </c>
      <c r="B541" s="6" t="str">
        <f>"王洁"</f>
        <v>王洁</v>
      </c>
      <c r="C541" s="6" t="str">
        <f t="shared" si="24"/>
        <v>女</v>
      </c>
      <c r="D541" s="6" t="str">
        <f>"202115010505"</f>
        <v>202115010505</v>
      </c>
      <c r="E541" s="10" t="s">
        <v>20</v>
      </c>
      <c r="F541" s="6" t="s">
        <v>9</v>
      </c>
      <c r="G541" s="8">
        <v>60.75</v>
      </c>
      <c r="H541" s="6"/>
    </row>
    <row r="542" spans="1:8">
      <c r="A542" s="5">
        <v>261</v>
      </c>
      <c r="B542" s="6" t="str">
        <f>"罗乾玲"</f>
        <v>罗乾玲</v>
      </c>
      <c r="C542" s="6" t="str">
        <f t="shared" si="24"/>
        <v>女</v>
      </c>
      <c r="D542" s="6" t="str">
        <f>"202115010506"</f>
        <v>202115010506</v>
      </c>
      <c r="E542" s="10" t="s">
        <v>20</v>
      </c>
      <c r="F542" s="6" t="s">
        <v>9</v>
      </c>
      <c r="G542" s="8">
        <v>57.15</v>
      </c>
      <c r="H542" s="6"/>
    </row>
    <row r="543" spans="1:8">
      <c r="A543" s="5">
        <v>623</v>
      </c>
      <c r="B543" s="6" t="str">
        <f>"李希前"</f>
        <v>李希前</v>
      </c>
      <c r="C543" s="6" t="str">
        <f>"男"</f>
        <v>男</v>
      </c>
      <c r="D543" s="6" t="str">
        <f>"202115010507"</f>
        <v>202115010507</v>
      </c>
      <c r="E543" s="10" t="s">
        <v>20</v>
      </c>
      <c r="F543" s="6" t="s">
        <v>9</v>
      </c>
      <c r="G543" s="8">
        <v>60.1</v>
      </c>
      <c r="H543" s="6"/>
    </row>
    <row r="544" spans="1:8">
      <c r="A544" s="5">
        <v>456</v>
      </c>
      <c r="B544" s="6" t="str">
        <f>"李潮昭"</f>
        <v>李潮昭</v>
      </c>
      <c r="C544" s="6" t="str">
        <f>"男"</f>
        <v>男</v>
      </c>
      <c r="D544" s="6" t="str">
        <f>"202115010508"</f>
        <v>202115010508</v>
      </c>
      <c r="E544" s="10" t="s">
        <v>20</v>
      </c>
      <c r="F544" s="6" t="s">
        <v>9</v>
      </c>
      <c r="G544" s="8">
        <v>65.8</v>
      </c>
      <c r="H544" s="6"/>
    </row>
    <row r="545" spans="1:8">
      <c r="A545" s="5">
        <v>289</v>
      </c>
      <c r="B545" s="6" t="str">
        <f>"伍丹"</f>
        <v>伍丹</v>
      </c>
      <c r="C545" s="6" t="str">
        <f t="shared" ref="C545:C580" si="25">"女"</f>
        <v>女</v>
      </c>
      <c r="D545" s="6" t="str">
        <f>"202115010509"</f>
        <v>202115010509</v>
      </c>
      <c r="E545" s="10" t="s">
        <v>20</v>
      </c>
      <c r="F545" s="6" t="s">
        <v>9</v>
      </c>
      <c r="G545" s="8">
        <v>58.05</v>
      </c>
      <c r="H545" s="6"/>
    </row>
    <row r="546" spans="1:8">
      <c r="A546" s="5">
        <v>554</v>
      </c>
      <c r="B546" s="6" t="str">
        <f>"张媛"</f>
        <v>张媛</v>
      </c>
      <c r="C546" s="6" t="str">
        <f t="shared" si="25"/>
        <v>女</v>
      </c>
      <c r="D546" s="6" t="str">
        <f>"202115010510"</f>
        <v>202115010510</v>
      </c>
      <c r="E546" s="10" t="s">
        <v>20</v>
      </c>
      <c r="F546" s="6" t="s">
        <v>9</v>
      </c>
      <c r="G546" s="8">
        <v>59.55</v>
      </c>
      <c r="H546" s="6"/>
    </row>
    <row r="547" spans="1:8">
      <c r="A547" s="5">
        <v>618</v>
      </c>
      <c r="B547" s="6" t="str">
        <f>"颜甜"</f>
        <v>颜甜</v>
      </c>
      <c r="C547" s="6" t="str">
        <f t="shared" si="25"/>
        <v>女</v>
      </c>
      <c r="D547" s="6" t="str">
        <f>"202115010511"</f>
        <v>202115010511</v>
      </c>
      <c r="E547" s="10" t="s">
        <v>20</v>
      </c>
      <c r="F547" s="6" t="s">
        <v>9</v>
      </c>
      <c r="G547" s="8">
        <v>68.8</v>
      </c>
      <c r="H547" s="6"/>
    </row>
    <row r="548" spans="1:8">
      <c r="A548" s="5">
        <v>286</v>
      </c>
      <c r="B548" s="6" t="str">
        <f>"张碧琦"</f>
        <v>张碧琦</v>
      </c>
      <c r="C548" s="6" t="str">
        <f t="shared" si="25"/>
        <v>女</v>
      </c>
      <c r="D548" s="6" t="str">
        <f>"202115010512"</f>
        <v>202115010512</v>
      </c>
      <c r="E548" s="10" t="s">
        <v>20</v>
      </c>
      <c r="F548" s="6" t="s">
        <v>9</v>
      </c>
      <c r="G548" s="8">
        <v>0</v>
      </c>
      <c r="H548" s="9">
        <v>1</v>
      </c>
    </row>
    <row r="549" spans="1:8">
      <c r="A549" s="5">
        <v>440</v>
      </c>
      <c r="B549" s="6" t="str">
        <f>"钟题花"</f>
        <v>钟题花</v>
      </c>
      <c r="C549" s="6" t="str">
        <f t="shared" si="25"/>
        <v>女</v>
      </c>
      <c r="D549" s="6" t="str">
        <f>"202115010513"</f>
        <v>202115010513</v>
      </c>
      <c r="E549" s="10" t="s">
        <v>20</v>
      </c>
      <c r="F549" s="6" t="s">
        <v>9</v>
      </c>
      <c r="G549" s="8">
        <v>61.2</v>
      </c>
      <c r="H549" s="6"/>
    </row>
    <row r="550" spans="1:8">
      <c r="A550" s="5">
        <v>536</v>
      </c>
      <c r="B550" s="6" t="str">
        <f>"周缘"</f>
        <v>周缘</v>
      </c>
      <c r="C550" s="6" t="str">
        <f t="shared" si="25"/>
        <v>女</v>
      </c>
      <c r="D550" s="6" t="str">
        <f>"202115010514"</f>
        <v>202115010514</v>
      </c>
      <c r="E550" s="10" t="s">
        <v>20</v>
      </c>
      <c r="F550" s="6" t="s">
        <v>9</v>
      </c>
      <c r="G550" s="8">
        <v>62.95</v>
      </c>
      <c r="H550" s="6"/>
    </row>
    <row r="551" spans="1:8">
      <c r="A551" s="5">
        <v>638</v>
      </c>
      <c r="B551" s="6" t="str">
        <f>"雷时良"</f>
        <v>雷时良</v>
      </c>
      <c r="C551" s="6" t="str">
        <f t="shared" si="25"/>
        <v>女</v>
      </c>
      <c r="D551" s="6" t="str">
        <f>"202115010515"</f>
        <v>202115010515</v>
      </c>
      <c r="E551" s="10" t="s">
        <v>20</v>
      </c>
      <c r="F551" s="6" t="s">
        <v>9</v>
      </c>
      <c r="G551" s="8">
        <v>60.5</v>
      </c>
      <c r="H551" s="6"/>
    </row>
    <row r="552" spans="1:8">
      <c r="A552" s="5">
        <v>473</v>
      </c>
      <c r="B552" s="6" t="str">
        <f>"王悦"</f>
        <v>王悦</v>
      </c>
      <c r="C552" s="6" t="str">
        <f t="shared" si="25"/>
        <v>女</v>
      </c>
      <c r="D552" s="6" t="str">
        <f>"202115010516"</f>
        <v>202115010516</v>
      </c>
      <c r="E552" s="10" t="s">
        <v>20</v>
      </c>
      <c r="F552" s="6" t="s">
        <v>9</v>
      </c>
      <c r="G552" s="8">
        <v>51.7</v>
      </c>
      <c r="H552" s="6"/>
    </row>
    <row r="553" spans="1:8">
      <c r="A553" s="5">
        <v>281</v>
      </c>
      <c r="B553" s="6" t="str">
        <f>"唐微"</f>
        <v>唐微</v>
      </c>
      <c r="C553" s="6" t="str">
        <f t="shared" si="25"/>
        <v>女</v>
      </c>
      <c r="D553" s="6" t="str">
        <f>"202115010517"</f>
        <v>202115010517</v>
      </c>
      <c r="E553" s="10" t="s">
        <v>20</v>
      </c>
      <c r="F553" s="6" t="s">
        <v>9</v>
      </c>
      <c r="G553" s="8">
        <v>54.45</v>
      </c>
      <c r="H553" s="6"/>
    </row>
    <row r="554" spans="1:8">
      <c r="A554" s="5">
        <v>431</v>
      </c>
      <c r="B554" s="6" t="str">
        <f>"徐微微"</f>
        <v>徐微微</v>
      </c>
      <c r="C554" s="6" t="str">
        <f t="shared" si="25"/>
        <v>女</v>
      </c>
      <c r="D554" s="6" t="str">
        <f>"202115010518"</f>
        <v>202115010518</v>
      </c>
      <c r="E554" s="10" t="s">
        <v>20</v>
      </c>
      <c r="F554" s="6" t="s">
        <v>9</v>
      </c>
      <c r="G554" s="8">
        <v>64.95</v>
      </c>
      <c r="H554" s="6"/>
    </row>
    <row r="555" spans="1:8">
      <c r="A555" s="5">
        <v>664</v>
      </c>
      <c r="B555" s="6" t="str">
        <f>"唐思诗"</f>
        <v>唐思诗</v>
      </c>
      <c r="C555" s="6" t="str">
        <f t="shared" si="25"/>
        <v>女</v>
      </c>
      <c r="D555" s="6" t="str">
        <f>"202115010519"</f>
        <v>202115010519</v>
      </c>
      <c r="E555" s="10" t="s">
        <v>20</v>
      </c>
      <c r="F555" s="6" t="s">
        <v>9</v>
      </c>
      <c r="G555" s="8">
        <v>62.55</v>
      </c>
      <c r="H555" s="6"/>
    </row>
    <row r="556" spans="1:8">
      <c r="A556" s="5">
        <v>622</v>
      </c>
      <c r="B556" s="6" t="str">
        <f>"伍慧"</f>
        <v>伍慧</v>
      </c>
      <c r="C556" s="6" t="str">
        <f t="shared" si="25"/>
        <v>女</v>
      </c>
      <c r="D556" s="6" t="str">
        <f>"202115010520"</f>
        <v>202115010520</v>
      </c>
      <c r="E556" s="10" t="s">
        <v>20</v>
      </c>
      <c r="F556" s="6" t="s">
        <v>9</v>
      </c>
      <c r="G556" s="8">
        <v>56.85</v>
      </c>
      <c r="H556" s="6"/>
    </row>
    <row r="557" spans="1:8">
      <c r="A557" s="5">
        <v>432</v>
      </c>
      <c r="B557" s="6" t="str">
        <f>"周炜佳"</f>
        <v>周炜佳</v>
      </c>
      <c r="C557" s="6" t="str">
        <f t="shared" si="25"/>
        <v>女</v>
      </c>
      <c r="D557" s="6" t="str">
        <f>"202115010521"</f>
        <v>202115010521</v>
      </c>
      <c r="E557" s="10" t="s">
        <v>20</v>
      </c>
      <c r="F557" s="6" t="s">
        <v>9</v>
      </c>
      <c r="G557" s="8">
        <v>56.75</v>
      </c>
      <c r="H557" s="6"/>
    </row>
    <row r="558" spans="1:8">
      <c r="A558" s="5">
        <v>497</v>
      </c>
      <c r="B558" s="6" t="str">
        <f>"杨诚成"</f>
        <v>杨诚成</v>
      </c>
      <c r="C558" s="6" t="str">
        <f t="shared" si="25"/>
        <v>女</v>
      </c>
      <c r="D558" s="6" t="str">
        <f>"202115010522"</f>
        <v>202115010522</v>
      </c>
      <c r="E558" s="10" t="s">
        <v>20</v>
      </c>
      <c r="F558" s="6" t="s">
        <v>9</v>
      </c>
      <c r="G558" s="8">
        <v>65.3</v>
      </c>
      <c r="H558" s="6"/>
    </row>
    <row r="559" spans="1:8">
      <c r="A559" s="5">
        <v>608</v>
      </c>
      <c r="B559" s="6" t="str">
        <f>"罗惠友"</f>
        <v>罗惠友</v>
      </c>
      <c r="C559" s="6" t="str">
        <f t="shared" si="25"/>
        <v>女</v>
      </c>
      <c r="D559" s="6" t="str">
        <f>"202115010523"</f>
        <v>202115010523</v>
      </c>
      <c r="E559" s="10" t="s">
        <v>20</v>
      </c>
      <c r="F559" s="6" t="s">
        <v>9</v>
      </c>
      <c r="G559" s="8">
        <v>57.55</v>
      </c>
      <c r="H559" s="6"/>
    </row>
    <row r="560" spans="1:8">
      <c r="A560" s="5">
        <v>462</v>
      </c>
      <c r="B560" s="6" t="str">
        <f>"谭雅"</f>
        <v>谭雅</v>
      </c>
      <c r="C560" s="6" t="str">
        <f t="shared" si="25"/>
        <v>女</v>
      </c>
      <c r="D560" s="6" t="str">
        <f>"202115010524"</f>
        <v>202115010524</v>
      </c>
      <c r="E560" s="10" t="s">
        <v>20</v>
      </c>
      <c r="F560" s="6" t="s">
        <v>9</v>
      </c>
      <c r="G560" s="8">
        <v>68.2</v>
      </c>
      <c r="H560" s="6"/>
    </row>
    <row r="561" spans="1:8">
      <c r="A561" s="5">
        <v>615</v>
      </c>
      <c r="B561" s="6" t="str">
        <f>"张玉辉"</f>
        <v>张玉辉</v>
      </c>
      <c r="C561" s="6" t="str">
        <f t="shared" si="25"/>
        <v>女</v>
      </c>
      <c r="D561" s="6" t="str">
        <f>"202115010525"</f>
        <v>202115010525</v>
      </c>
      <c r="E561" s="10" t="s">
        <v>20</v>
      </c>
      <c r="F561" s="6" t="s">
        <v>9</v>
      </c>
      <c r="G561" s="8">
        <v>47</v>
      </c>
      <c r="H561" s="6"/>
    </row>
    <row r="562" spans="1:8">
      <c r="A562" s="5">
        <v>628</v>
      </c>
      <c r="B562" s="6" t="str">
        <f>"杨佩"</f>
        <v>杨佩</v>
      </c>
      <c r="C562" s="6" t="str">
        <f t="shared" si="25"/>
        <v>女</v>
      </c>
      <c r="D562" s="6" t="str">
        <f>"202115010526"</f>
        <v>202115010526</v>
      </c>
      <c r="E562" s="10" t="s">
        <v>20</v>
      </c>
      <c r="F562" s="6" t="s">
        <v>9</v>
      </c>
      <c r="G562" s="8">
        <v>46.1</v>
      </c>
      <c r="H562" s="6"/>
    </row>
    <row r="563" spans="1:8">
      <c r="A563" s="5">
        <v>510</v>
      </c>
      <c r="B563" s="6" t="str">
        <f>"罗珍"</f>
        <v>罗珍</v>
      </c>
      <c r="C563" s="6" t="str">
        <f t="shared" si="25"/>
        <v>女</v>
      </c>
      <c r="D563" s="6" t="str">
        <f>"202115010527"</f>
        <v>202115010527</v>
      </c>
      <c r="E563" s="10" t="s">
        <v>20</v>
      </c>
      <c r="F563" s="6" t="s">
        <v>9</v>
      </c>
      <c r="G563" s="8">
        <v>51.9</v>
      </c>
      <c r="H563" s="6"/>
    </row>
    <row r="564" spans="1:8">
      <c r="A564" s="5">
        <v>436</v>
      </c>
      <c r="B564" s="6" t="str">
        <f>"邓敏"</f>
        <v>邓敏</v>
      </c>
      <c r="C564" s="6" t="str">
        <f t="shared" si="25"/>
        <v>女</v>
      </c>
      <c r="D564" s="6" t="str">
        <f>"202115010528"</f>
        <v>202115010528</v>
      </c>
      <c r="E564" s="10" t="s">
        <v>20</v>
      </c>
      <c r="F564" s="6" t="s">
        <v>9</v>
      </c>
      <c r="G564" s="8">
        <v>52.45</v>
      </c>
      <c r="H564" s="6"/>
    </row>
    <row r="565" spans="1:8">
      <c r="A565" s="5">
        <v>596</v>
      </c>
      <c r="B565" s="6" t="str">
        <f>"邓柳琴"</f>
        <v>邓柳琴</v>
      </c>
      <c r="C565" s="6" t="str">
        <f t="shared" si="25"/>
        <v>女</v>
      </c>
      <c r="D565" s="6" t="str">
        <f>"202115010529"</f>
        <v>202115010529</v>
      </c>
      <c r="E565" s="10" t="s">
        <v>20</v>
      </c>
      <c r="F565" s="6" t="s">
        <v>9</v>
      </c>
      <c r="G565" s="8">
        <v>64.5</v>
      </c>
      <c r="H565" s="6"/>
    </row>
    <row r="566" spans="1:8">
      <c r="A566" s="5">
        <v>648</v>
      </c>
      <c r="B566" s="6" t="str">
        <f>"奉方珍"</f>
        <v>奉方珍</v>
      </c>
      <c r="C566" s="6" t="str">
        <f t="shared" si="25"/>
        <v>女</v>
      </c>
      <c r="D566" s="6" t="str">
        <f>"202115010530"</f>
        <v>202115010530</v>
      </c>
      <c r="E566" s="10" t="s">
        <v>20</v>
      </c>
      <c r="F566" s="6" t="s">
        <v>9</v>
      </c>
      <c r="G566" s="8">
        <v>60.65</v>
      </c>
      <c r="H566" s="6"/>
    </row>
    <row r="567" spans="1:8">
      <c r="A567" s="5">
        <v>553</v>
      </c>
      <c r="B567" s="6" t="str">
        <f>"刘琼媛"</f>
        <v>刘琼媛</v>
      </c>
      <c r="C567" s="6" t="str">
        <f t="shared" si="25"/>
        <v>女</v>
      </c>
      <c r="D567" s="6" t="str">
        <f>"202115010601"</f>
        <v>202115010601</v>
      </c>
      <c r="E567" s="10" t="s">
        <v>20</v>
      </c>
      <c r="F567" s="6" t="s">
        <v>9</v>
      </c>
      <c r="G567" s="8">
        <v>61.35</v>
      </c>
      <c r="H567" s="6"/>
    </row>
    <row r="568" spans="1:8">
      <c r="A568" s="5">
        <v>349</v>
      </c>
      <c r="B568" s="6" t="str">
        <f>"王晓艳"</f>
        <v>王晓艳</v>
      </c>
      <c r="C568" s="6" t="str">
        <f t="shared" si="25"/>
        <v>女</v>
      </c>
      <c r="D568" s="6" t="str">
        <f>"202115010602"</f>
        <v>202115010602</v>
      </c>
      <c r="E568" s="10" t="s">
        <v>20</v>
      </c>
      <c r="F568" s="6" t="s">
        <v>9</v>
      </c>
      <c r="G568" s="8">
        <v>50.3</v>
      </c>
      <c r="H568" s="6"/>
    </row>
    <row r="569" spans="1:8">
      <c r="A569" s="5">
        <v>491</v>
      </c>
      <c r="B569" s="6" t="str">
        <f>"胡元圆"</f>
        <v>胡元圆</v>
      </c>
      <c r="C569" s="6" t="str">
        <f t="shared" si="25"/>
        <v>女</v>
      </c>
      <c r="D569" s="6" t="str">
        <f>"202115010603"</f>
        <v>202115010603</v>
      </c>
      <c r="E569" s="10" t="s">
        <v>20</v>
      </c>
      <c r="F569" s="6" t="s">
        <v>9</v>
      </c>
      <c r="G569" s="8">
        <v>65.05</v>
      </c>
      <c r="H569" s="6"/>
    </row>
    <row r="570" spans="1:8">
      <c r="A570" s="5">
        <v>277</v>
      </c>
      <c r="B570" s="6" t="str">
        <f>"廖丽琼"</f>
        <v>廖丽琼</v>
      </c>
      <c r="C570" s="6" t="str">
        <f t="shared" si="25"/>
        <v>女</v>
      </c>
      <c r="D570" s="6" t="str">
        <f>"202115010604"</f>
        <v>202115010604</v>
      </c>
      <c r="E570" s="10" t="s">
        <v>20</v>
      </c>
      <c r="F570" s="6" t="s">
        <v>9</v>
      </c>
      <c r="G570" s="8">
        <v>62.2</v>
      </c>
      <c r="H570" s="6"/>
    </row>
    <row r="571" spans="1:8">
      <c r="A571" s="5">
        <v>383</v>
      </c>
      <c r="B571" s="6" t="str">
        <f>"岳秧秧"</f>
        <v>岳秧秧</v>
      </c>
      <c r="C571" s="6" t="str">
        <f t="shared" si="25"/>
        <v>女</v>
      </c>
      <c r="D571" s="6" t="str">
        <f>"202115010605"</f>
        <v>202115010605</v>
      </c>
      <c r="E571" s="10" t="s">
        <v>20</v>
      </c>
      <c r="F571" s="6" t="s">
        <v>9</v>
      </c>
      <c r="G571" s="8">
        <v>0</v>
      </c>
      <c r="H571" s="9">
        <v>1</v>
      </c>
    </row>
    <row r="572" spans="1:8">
      <c r="A572" s="5">
        <v>601</v>
      </c>
      <c r="B572" s="6" t="str">
        <f>"吴思琦"</f>
        <v>吴思琦</v>
      </c>
      <c r="C572" s="6" t="str">
        <f t="shared" si="25"/>
        <v>女</v>
      </c>
      <c r="D572" s="6" t="str">
        <f>"202115010606"</f>
        <v>202115010606</v>
      </c>
      <c r="E572" s="10" t="s">
        <v>20</v>
      </c>
      <c r="F572" s="6" t="s">
        <v>9</v>
      </c>
      <c r="G572" s="8">
        <v>43.05</v>
      </c>
      <c r="H572" s="6"/>
    </row>
    <row r="573" spans="1:8">
      <c r="A573" s="5">
        <v>379</v>
      </c>
      <c r="B573" s="6" t="str">
        <f>"李滕芳"</f>
        <v>李滕芳</v>
      </c>
      <c r="C573" s="6" t="str">
        <f t="shared" si="25"/>
        <v>女</v>
      </c>
      <c r="D573" s="6" t="str">
        <f>"202115010607"</f>
        <v>202115010607</v>
      </c>
      <c r="E573" s="10" t="s">
        <v>20</v>
      </c>
      <c r="F573" s="6" t="s">
        <v>9</v>
      </c>
      <c r="G573" s="8">
        <v>59.85</v>
      </c>
      <c r="H573" s="6"/>
    </row>
    <row r="574" spans="1:8">
      <c r="A574" s="5">
        <v>272</v>
      </c>
      <c r="B574" s="6" t="str">
        <f>"李芳"</f>
        <v>李芳</v>
      </c>
      <c r="C574" s="6" t="str">
        <f t="shared" si="25"/>
        <v>女</v>
      </c>
      <c r="D574" s="6" t="str">
        <f>"202115010608"</f>
        <v>202115010608</v>
      </c>
      <c r="E574" s="10" t="s">
        <v>20</v>
      </c>
      <c r="F574" s="6" t="s">
        <v>9</v>
      </c>
      <c r="G574" s="8">
        <v>0</v>
      </c>
      <c r="H574" s="9">
        <v>1</v>
      </c>
    </row>
    <row r="575" spans="1:8">
      <c r="A575" s="5">
        <v>477</v>
      </c>
      <c r="B575" s="6" t="str">
        <f>"文竺艳"</f>
        <v>文竺艳</v>
      </c>
      <c r="C575" s="6" t="str">
        <f t="shared" si="25"/>
        <v>女</v>
      </c>
      <c r="D575" s="6" t="str">
        <f>"202115010609"</f>
        <v>202115010609</v>
      </c>
      <c r="E575" s="10" t="s">
        <v>20</v>
      </c>
      <c r="F575" s="6" t="s">
        <v>9</v>
      </c>
      <c r="G575" s="8">
        <v>71.95</v>
      </c>
      <c r="H575" s="6"/>
    </row>
    <row r="576" spans="1:8">
      <c r="A576" s="5">
        <v>378</v>
      </c>
      <c r="B576" s="6" t="str">
        <f>"戴群"</f>
        <v>戴群</v>
      </c>
      <c r="C576" s="6" t="str">
        <f t="shared" si="25"/>
        <v>女</v>
      </c>
      <c r="D576" s="6" t="str">
        <f>"202115010610"</f>
        <v>202115010610</v>
      </c>
      <c r="E576" s="10" t="s">
        <v>20</v>
      </c>
      <c r="F576" s="6" t="s">
        <v>9</v>
      </c>
      <c r="G576" s="8">
        <v>58.65</v>
      </c>
      <c r="H576" s="6"/>
    </row>
    <row r="577" spans="1:8">
      <c r="A577" s="5">
        <v>574</v>
      </c>
      <c r="B577" s="6" t="str">
        <f>"肖叶"</f>
        <v>肖叶</v>
      </c>
      <c r="C577" s="6" t="str">
        <f t="shared" si="25"/>
        <v>女</v>
      </c>
      <c r="D577" s="6" t="str">
        <f>"202115010611"</f>
        <v>202115010611</v>
      </c>
      <c r="E577" s="10" t="s">
        <v>20</v>
      </c>
      <c r="F577" s="6" t="s">
        <v>9</v>
      </c>
      <c r="G577" s="8">
        <v>0</v>
      </c>
      <c r="H577" s="9">
        <v>1</v>
      </c>
    </row>
    <row r="578" spans="1:8">
      <c r="A578" s="5">
        <v>350</v>
      </c>
      <c r="B578" s="6" t="str">
        <f>"王丽霞"</f>
        <v>王丽霞</v>
      </c>
      <c r="C578" s="6" t="str">
        <f t="shared" si="25"/>
        <v>女</v>
      </c>
      <c r="D578" s="6" t="str">
        <f>"202115010612"</f>
        <v>202115010612</v>
      </c>
      <c r="E578" s="10" t="s">
        <v>20</v>
      </c>
      <c r="F578" s="6" t="s">
        <v>9</v>
      </c>
      <c r="G578" s="8">
        <v>57.5</v>
      </c>
      <c r="H578" s="6"/>
    </row>
    <row r="579" spans="1:8">
      <c r="A579" s="5">
        <v>511</v>
      </c>
      <c r="B579" s="6" t="str">
        <f>"李桃英"</f>
        <v>李桃英</v>
      </c>
      <c r="C579" s="6" t="str">
        <f t="shared" si="25"/>
        <v>女</v>
      </c>
      <c r="D579" s="6" t="str">
        <f>"202115010613"</f>
        <v>202115010613</v>
      </c>
      <c r="E579" s="10" t="s">
        <v>20</v>
      </c>
      <c r="F579" s="6" t="s">
        <v>9</v>
      </c>
      <c r="G579" s="8">
        <v>61.3</v>
      </c>
      <c r="H579" s="6"/>
    </row>
    <row r="580" spans="1:8">
      <c r="A580" s="5">
        <v>232</v>
      </c>
      <c r="B580" s="6" t="str">
        <f>"王倩"</f>
        <v>王倩</v>
      </c>
      <c r="C580" s="6" t="str">
        <f t="shared" si="25"/>
        <v>女</v>
      </c>
      <c r="D580" s="6" t="str">
        <f>"202115010614"</f>
        <v>202115010614</v>
      </c>
      <c r="E580" s="10" t="s">
        <v>20</v>
      </c>
      <c r="F580" s="6" t="s">
        <v>9</v>
      </c>
      <c r="G580" s="8">
        <v>0</v>
      </c>
      <c r="H580" s="9">
        <v>1</v>
      </c>
    </row>
    <row r="581" spans="1:8">
      <c r="A581" s="5">
        <v>529</v>
      </c>
      <c r="B581" s="6" t="str">
        <f>"杜洪涛"</f>
        <v>杜洪涛</v>
      </c>
      <c r="C581" s="6" t="str">
        <f>"男"</f>
        <v>男</v>
      </c>
      <c r="D581" s="6" t="str">
        <f>"202115010615"</f>
        <v>202115010615</v>
      </c>
      <c r="E581" s="10" t="s">
        <v>20</v>
      </c>
      <c r="F581" s="6" t="s">
        <v>9</v>
      </c>
      <c r="G581" s="8">
        <v>8</v>
      </c>
      <c r="H581" s="6"/>
    </row>
    <row r="582" spans="1:8">
      <c r="A582" s="5">
        <v>480</v>
      </c>
      <c r="B582" s="6" t="str">
        <f>"向芳"</f>
        <v>向芳</v>
      </c>
      <c r="C582" s="6" t="str">
        <f>"女"</f>
        <v>女</v>
      </c>
      <c r="D582" s="6" t="str">
        <f>"202115010616"</f>
        <v>202115010616</v>
      </c>
      <c r="E582" s="10" t="s">
        <v>20</v>
      </c>
      <c r="F582" s="6" t="s">
        <v>9</v>
      </c>
      <c r="G582" s="8">
        <v>50.35</v>
      </c>
      <c r="H582" s="6"/>
    </row>
    <row r="583" spans="1:8">
      <c r="A583" s="5">
        <v>377</v>
      </c>
      <c r="B583" s="6" t="str">
        <f>"罗小飞"</f>
        <v>罗小飞</v>
      </c>
      <c r="C583" s="6" t="str">
        <f>"女"</f>
        <v>女</v>
      </c>
      <c r="D583" s="6" t="str">
        <f>"202115010617"</f>
        <v>202115010617</v>
      </c>
      <c r="E583" s="10" t="s">
        <v>20</v>
      </c>
      <c r="F583" s="6" t="s">
        <v>9</v>
      </c>
      <c r="G583" s="8">
        <v>69.8</v>
      </c>
      <c r="H583" s="6"/>
    </row>
    <row r="584" spans="1:8">
      <c r="A584" s="5">
        <v>375</v>
      </c>
      <c r="B584" s="6" t="str">
        <f>"刘梦秋"</f>
        <v>刘梦秋</v>
      </c>
      <c r="C584" s="6" t="str">
        <f>"男"</f>
        <v>男</v>
      </c>
      <c r="D584" s="6" t="str">
        <f>"202115010618"</f>
        <v>202115010618</v>
      </c>
      <c r="E584" s="10" t="s">
        <v>20</v>
      </c>
      <c r="F584" s="6" t="s">
        <v>9</v>
      </c>
      <c r="G584" s="8">
        <v>56.65</v>
      </c>
      <c r="H584" s="6"/>
    </row>
    <row r="585" spans="1:8">
      <c r="A585" s="5">
        <v>467</v>
      </c>
      <c r="B585" s="6" t="str">
        <f>"肖谊"</f>
        <v>肖谊</v>
      </c>
      <c r="C585" s="6" t="str">
        <f t="shared" ref="C585:C590" si="26">"女"</f>
        <v>女</v>
      </c>
      <c r="D585" s="6" t="str">
        <f>"202115010619"</f>
        <v>202115010619</v>
      </c>
      <c r="E585" s="10" t="s">
        <v>20</v>
      </c>
      <c r="F585" s="6" t="s">
        <v>9</v>
      </c>
      <c r="G585" s="8">
        <v>0</v>
      </c>
      <c r="H585" s="9">
        <v>1</v>
      </c>
    </row>
    <row r="586" spans="1:8">
      <c r="A586" s="5">
        <v>327</v>
      </c>
      <c r="B586" s="6" t="str">
        <f>"阮媛媛"</f>
        <v>阮媛媛</v>
      </c>
      <c r="C586" s="6" t="str">
        <f t="shared" si="26"/>
        <v>女</v>
      </c>
      <c r="D586" s="6" t="str">
        <f>"202115010620"</f>
        <v>202115010620</v>
      </c>
      <c r="E586" s="10" t="s">
        <v>20</v>
      </c>
      <c r="F586" s="6" t="s">
        <v>9</v>
      </c>
      <c r="G586" s="8">
        <v>0</v>
      </c>
      <c r="H586" s="9">
        <v>1</v>
      </c>
    </row>
    <row r="587" spans="1:8">
      <c r="A587" s="5">
        <v>427</v>
      </c>
      <c r="B587" s="6" t="str">
        <f>"黎锦玉"</f>
        <v>黎锦玉</v>
      </c>
      <c r="C587" s="6" t="str">
        <f t="shared" si="26"/>
        <v>女</v>
      </c>
      <c r="D587" s="6" t="str">
        <f>"202115010621"</f>
        <v>202115010621</v>
      </c>
      <c r="E587" s="10" t="s">
        <v>20</v>
      </c>
      <c r="F587" s="6" t="s">
        <v>9</v>
      </c>
      <c r="G587" s="8">
        <v>67.150000000000006</v>
      </c>
      <c r="H587" s="6"/>
    </row>
    <row r="588" spans="1:8">
      <c r="A588" s="5">
        <v>597</v>
      </c>
      <c r="B588" s="6" t="str">
        <f>"李圆"</f>
        <v>李圆</v>
      </c>
      <c r="C588" s="6" t="str">
        <f t="shared" si="26"/>
        <v>女</v>
      </c>
      <c r="D588" s="6" t="str">
        <f>"202115010622"</f>
        <v>202115010622</v>
      </c>
      <c r="E588" s="10" t="s">
        <v>20</v>
      </c>
      <c r="F588" s="6" t="s">
        <v>9</v>
      </c>
      <c r="G588" s="8">
        <v>52.85</v>
      </c>
      <c r="H588" s="6"/>
    </row>
    <row r="589" spans="1:8">
      <c r="A589" s="5">
        <v>364</v>
      </c>
      <c r="B589" s="6" t="str">
        <f>"刘敏敏"</f>
        <v>刘敏敏</v>
      </c>
      <c r="C589" s="6" t="str">
        <f t="shared" si="26"/>
        <v>女</v>
      </c>
      <c r="D589" s="6" t="str">
        <f>"202115010623"</f>
        <v>202115010623</v>
      </c>
      <c r="E589" s="10" t="s">
        <v>20</v>
      </c>
      <c r="F589" s="6" t="s">
        <v>9</v>
      </c>
      <c r="G589" s="8">
        <v>47.9</v>
      </c>
      <c r="H589" s="6"/>
    </row>
    <row r="590" spans="1:8">
      <c r="A590" s="5">
        <v>275</v>
      </c>
      <c r="B590" s="6" t="str">
        <f>"唐瑶"</f>
        <v>唐瑶</v>
      </c>
      <c r="C590" s="6" t="str">
        <f t="shared" si="26"/>
        <v>女</v>
      </c>
      <c r="D590" s="6" t="str">
        <f>"202115010624"</f>
        <v>202115010624</v>
      </c>
      <c r="E590" s="10" t="s">
        <v>20</v>
      </c>
      <c r="F590" s="6" t="s">
        <v>9</v>
      </c>
      <c r="G590" s="8">
        <v>48.6</v>
      </c>
      <c r="H590" s="6"/>
    </row>
    <row r="591" spans="1:8">
      <c r="A591" s="5">
        <v>405</v>
      </c>
      <c r="B591" s="6" t="str">
        <f>"肖林林"</f>
        <v>肖林林</v>
      </c>
      <c r="C591" s="6" t="str">
        <f>"男"</f>
        <v>男</v>
      </c>
      <c r="D591" s="6" t="str">
        <f>"202115010625"</f>
        <v>202115010625</v>
      </c>
      <c r="E591" s="10" t="s">
        <v>20</v>
      </c>
      <c r="F591" s="6" t="s">
        <v>9</v>
      </c>
      <c r="G591" s="8">
        <v>69.349999999999994</v>
      </c>
      <c r="H591" s="6"/>
    </row>
    <row r="592" spans="1:8">
      <c r="A592" s="5">
        <v>479</v>
      </c>
      <c r="B592" s="6" t="str">
        <f>"宁格格"</f>
        <v>宁格格</v>
      </c>
      <c r="C592" s="6" t="str">
        <f t="shared" ref="C592:C600" si="27">"女"</f>
        <v>女</v>
      </c>
      <c r="D592" s="6" t="str">
        <f>"202115010626"</f>
        <v>202115010626</v>
      </c>
      <c r="E592" s="10" t="s">
        <v>20</v>
      </c>
      <c r="F592" s="6" t="s">
        <v>9</v>
      </c>
      <c r="G592" s="8">
        <v>54.75</v>
      </c>
      <c r="H592" s="6"/>
    </row>
    <row r="593" spans="1:8">
      <c r="A593" s="5">
        <v>444</v>
      </c>
      <c r="B593" s="6" t="str">
        <f>"刘萍萍"</f>
        <v>刘萍萍</v>
      </c>
      <c r="C593" s="6" t="str">
        <f t="shared" si="27"/>
        <v>女</v>
      </c>
      <c r="D593" s="6" t="str">
        <f>"202115010627"</f>
        <v>202115010627</v>
      </c>
      <c r="E593" s="10" t="s">
        <v>20</v>
      </c>
      <c r="F593" s="6" t="s">
        <v>9</v>
      </c>
      <c r="G593" s="8">
        <v>59.3</v>
      </c>
      <c r="H593" s="6"/>
    </row>
    <row r="594" spans="1:8">
      <c r="A594" s="5">
        <v>374</v>
      </c>
      <c r="B594" s="6" t="str">
        <f>"刘珏"</f>
        <v>刘珏</v>
      </c>
      <c r="C594" s="6" t="str">
        <f t="shared" si="27"/>
        <v>女</v>
      </c>
      <c r="D594" s="6" t="str">
        <f>"202115010628"</f>
        <v>202115010628</v>
      </c>
      <c r="E594" s="10" t="s">
        <v>20</v>
      </c>
      <c r="F594" s="6" t="s">
        <v>9</v>
      </c>
      <c r="G594" s="8">
        <v>62.55</v>
      </c>
      <c r="H594" s="6"/>
    </row>
    <row r="595" spans="1:8">
      <c r="A595" s="5">
        <v>298</v>
      </c>
      <c r="B595" s="6" t="str">
        <f>"周莎"</f>
        <v>周莎</v>
      </c>
      <c r="C595" s="6" t="str">
        <f t="shared" si="27"/>
        <v>女</v>
      </c>
      <c r="D595" s="6" t="str">
        <f>"202115010629"</f>
        <v>202115010629</v>
      </c>
      <c r="E595" s="10" t="s">
        <v>20</v>
      </c>
      <c r="F595" s="6" t="s">
        <v>9</v>
      </c>
      <c r="G595" s="8">
        <v>66.25</v>
      </c>
      <c r="H595" s="6"/>
    </row>
    <row r="596" spans="1:8">
      <c r="A596" s="5">
        <v>240</v>
      </c>
      <c r="B596" s="6" t="str">
        <f>"李佳星"</f>
        <v>李佳星</v>
      </c>
      <c r="C596" s="6" t="str">
        <f t="shared" si="27"/>
        <v>女</v>
      </c>
      <c r="D596" s="6" t="str">
        <f>"202115010630"</f>
        <v>202115010630</v>
      </c>
      <c r="E596" s="10" t="s">
        <v>20</v>
      </c>
      <c r="F596" s="6" t="s">
        <v>9</v>
      </c>
      <c r="G596" s="8">
        <v>0</v>
      </c>
      <c r="H596" s="9">
        <v>1</v>
      </c>
    </row>
    <row r="597" spans="1:8">
      <c r="A597" s="5">
        <v>475</v>
      </c>
      <c r="B597" s="6" t="str">
        <f>"王琦琛"</f>
        <v>王琦琛</v>
      </c>
      <c r="C597" s="6" t="str">
        <f t="shared" si="27"/>
        <v>女</v>
      </c>
      <c r="D597" s="6" t="str">
        <f>"202115010701"</f>
        <v>202115010701</v>
      </c>
      <c r="E597" s="10" t="s">
        <v>20</v>
      </c>
      <c r="F597" s="6" t="s">
        <v>9</v>
      </c>
      <c r="G597" s="8">
        <v>63.3</v>
      </c>
      <c r="H597" s="6"/>
    </row>
    <row r="598" spans="1:8">
      <c r="A598" s="5">
        <v>317</v>
      </c>
      <c r="B598" s="6" t="str">
        <f>"李佳欣"</f>
        <v>李佳欣</v>
      </c>
      <c r="C598" s="6" t="str">
        <f t="shared" si="27"/>
        <v>女</v>
      </c>
      <c r="D598" s="6" t="str">
        <f>"202115010702"</f>
        <v>202115010702</v>
      </c>
      <c r="E598" s="10" t="s">
        <v>20</v>
      </c>
      <c r="F598" s="6" t="s">
        <v>9</v>
      </c>
      <c r="G598" s="8">
        <v>54.2</v>
      </c>
      <c r="H598" s="6"/>
    </row>
    <row r="599" spans="1:8">
      <c r="A599" s="5">
        <v>652</v>
      </c>
      <c r="B599" s="6" t="str">
        <f>"张学艳"</f>
        <v>张学艳</v>
      </c>
      <c r="C599" s="6" t="str">
        <f t="shared" si="27"/>
        <v>女</v>
      </c>
      <c r="D599" s="6" t="str">
        <f>"202115010703"</f>
        <v>202115010703</v>
      </c>
      <c r="E599" s="10" t="s">
        <v>20</v>
      </c>
      <c r="F599" s="6" t="s">
        <v>9</v>
      </c>
      <c r="G599" s="8">
        <v>64.25</v>
      </c>
      <c r="H599" s="6"/>
    </row>
    <row r="600" spans="1:8">
      <c r="A600" s="5">
        <v>540</v>
      </c>
      <c r="B600" s="6" t="str">
        <f>"肖辉滔"</f>
        <v>肖辉滔</v>
      </c>
      <c r="C600" s="6" t="str">
        <f t="shared" si="27"/>
        <v>女</v>
      </c>
      <c r="D600" s="6" t="str">
        <f>"202115010704"</f>
        <v>202115010704</v>
      </c>
      <c r="E600" s="10" t="s">
        <v>20</v>
      </c>
      <c r="F600" s="6" t="s">
        <v>9</v>
      </c>
      <c r="G600" s="8">
        <v>63.45</v>
      </c>
      <c r="H600" s="6"/>
    </row>
    <row r="601" spans="1:8">
      <c r="A601" s="5">
        <v>558</v>
      </c>
      <c r="B601" s="6" t="str">
        <f>"唐隆兵"</f>
        <v>唐隆兵</v>
      </c>
      <c r="C601" s="6" t="str">
        <f>"男"</f>
        <v>男</v>
      </c>
      <c r="D601" s="6" t="str">
        <f>"202115010705"</f>
        <v>202115010705</v>
      </c>
      <c r="E601" s="10" t="s">
        <v>20</v>
      </c>
      <c r="F601" s="6" t="s">
        <v>9</v>
      </c>
      <c r="G601" s="8">
        <v>68.849999999999994</v>
      </c>
      <c r="H601" s="6"/>
    </row>
    <row r="602" spans="1:8">
      <c r="A602" s="5">
        <v>508</v>
      </c>
      <c r="B602" s="6" t="str">
        <f>"钟昌欣"</f>
        <v>钟昌欣</v>
      </c>
      <c r="C602" s="6" t="str">
        <f>"女"</f>
        <v>女</v>
      </c>
      <c r="D602" s="6" t="str">
        <f>"202115010706"</f>
        <v>202115010706</v>
      </c>
      <c r="E602" s="10" t="s">
        <v>20</v>
      </c>
      <c r="F602" s="6" t="s">
        <v>9</v>
      </c>
      <c r="G602" s="8">
        <v>65.7</v>
      </c>
      <c r="H602" s="6"/>
    </row>
    <row r="603" spans="1:8">
      <c r="A603" s="5">
        <v>474</v>
      </c>
      <c r="B603" s="6" t="str">
        <f>"刘畅"</f>
        <v>刘畅</v>
      </c>
      <c r="C603" s="6" t="str">
        <f>"女"</f>
        <v>女</v>
      </c>
      <c r="D603" s="6" t="str">
        <f>"202115010707"</f>
        <v>202115010707</v>
      </c>
      <c r="E603" s="10" t="s">
        <v>20</v>
      </c>
      <c r="F603" s="6" t="s">
        <v>9</v>
      </c>
      <c r="G603" s="8">
        <v>65.3</v>
      </c>
      <c r="H603" s="6"/>
    </row>
    <row r="604" spans="1:8">
      <c r="A604" s="5">
        <v>605</v>
      </c>
      <c r="B604" s="6" t="str">
        <f>"邓丽"</f>
        <v>邓丽</v>
      </c>
      <c r="C604" s="6" t="str">
        <f>"女"</f>
        <v>女</v>
      </c>
      <c r="D604" s="6" t="str">
        <f>"202115010708"</f>
        <v>202115010708</v>
      </c>
      <c r="E604" s="10" t="s">
        <v>20</v>
      </c>
      <c r="F604" s="6" t="s">
        <v>9</v>
      </c>
      <c r="G604" s="8">
        <v>47.3</v>
      </c>
      <c r="H604" s="6"/>
    </row>
    <row r="605" spans="1:8">
      <c r="A605" s="5">
        <v>338</v>
      </c>
      <c r="B605" s="6" t="str">
        <f>"尧芳芳"</f>
        <v>尧芳芳</v>
      </c>
      <c r="C605" s="6" t="str">
        <f>"女"</f>
        <v>女</v>
      </c>
      <c r="D605" s="6" t="str">
        <f>"202115010709"</f>
        <v>202115010709</v>
      </c>
      <c r="E605" s="10" t="s">
        <v>20</v>
      </c>
      <c r="F605" s="6" t="s">
        <v>9</v>
      </c>
      <c r="G605" s="8">
        <v>62.55</v>
      </c>
      <c r="H605" s="6"/>
    </row>
    <row r="606" spans="1:8">
      <c r="A606" s="5">
        <v>526</v>
      </c>
      <c r="B606" s="6" t="str">
        <f>"贺一芸"</f>
        <v>贺一芸</v>
      </c>
      <c r="C606" s="6" t="str">
        <f>"男"</f>
        <v>男</v>
      </c>
      <c r="D606" s="6" t="str">
        <f>"202115010710"</f>
        <v>202115010710</v>
      </c>
      <c r="E606" s="10" t="s">
        <v>20</v>
      </c>
      <c r="F606" s="6" t="s">
        <v>9</v>
      </c>
      <c r="G606" s="8">
        <v>50.3</v>
      </c>
      <c r="H606" s="6"/>
    </row>
    <row r="607" spans="1:8">
      <c r="A607" s="5">
        <v>669</v>
      </c>
      <c r="B607" s="6" t="str">
        <f>"曾雪"</f>
        <v>曾雪</v>
      </c>
      <c r="C607" s="6" t="str">
        <f t="shared" ref="C607:C638" si="28">"女"</f>
        <v>女</v>
      </c>
      <c r="D607" s="6" t="str">
        <f>"202115010711"</f>
        <v>202115010711</v>
      </c>
      <c r="E607" s="10" t="s">
        <v>20</v>
      </c>
      <c r="F607" s="6" t="s">
        <v>9</v>
      </c>
      <c r="G607" s="8">
        <v>64.05</v>
      </c>
      <c r="H607" s="6"/>
    </row>
    <row r="608" spans="1:8">
      <c r="A608" s="5">
        <v>493</v>
      </c>
      <c r="B608" s="6" t="str">
        <f>"李阳芳"</f>
        <v>李阳芳</v>
      </c>
      <c r="C608" s="6" t="str">
        <f t="shared" si="28"/>
        <v>女</v>
      </c>
      <c r="D608" s="6" t="str">
        <f>"202115010712"</f>
        <v>202115010712</v>
      </c>
      <c r="E608" s="10" t="s">
        <v>20</v>
      </c>
      <c r="F608" s="6" t="s">
        <v>9</v>
      </c>
      <c r="G608" s="8">
        <v>0</v>
      </c>
      <c r="H608" s="9">
        <v>1</v>
      </c>
    </row>
    <row r="609" spans="1:8">
      <c r="A609" s="5">
        <v>488</v>
      </c>
      <c r="B609" s="6" t="str">
        <f>"李岚茜"</f>
        <v>李岚茜</v>
      </c>
      <c r="C609" s="6" t="str">
        <f t="shared" si="28"/>
        <v>女</v>
      </c>
      <c r="D609" s="6" t="str">
        <f>"202115010713"</f>
        <v>202115010713</v>
      </c>
      <c r="E609" s="10" t="s">
        <v>20</v>
      </c>
      <c r="F609" s="6" t="s">
        <v>9</v>
      </c>
      <c r="G609" s="8">
        <v>68.349999999999994</v>
      </c>
      <c r="H609" s="6"/>
    </row>
    <row r="610" spans="1:8">
      <c r="A610" s="5">
        <v>231</v>
      </c>
      <c r="B610" s="6" t="str">
        <f>"张灵芳"</f>
        <v>张灵芳</v>
      </c>
      <c r="C610" s="6" t="str">
        <f t="shared" si="28"/>
        <v>女</v>
      </c>
      <c r="D610" s="6" t="str">
        <f>"202115010714"</f>
        <v>202115010714</v>
      </c>
      <c r="E610" s="10" t="s">
        <v>20</v>
      </c>
      <c r="F610" s="6" t="s">
        <v>9</v>
      </c>
      <c r="G610" s="8">
        <v>55</v>
      </c>
      <c r="H610" s="6"/>
    </row>
    <row r="611" spans="1:8">
      <c r="A611" s="5">
        <v>412</v>
      </c>
      <c r="B611" s="6" t="str">
        <f>"沈欣雨"</f>
        <v>沈欣雨</v>
      </c>
      <c r="C611" s="6" t="str">
        <f t="shared" si="28"/>
        <v>女</v>
      </c>
      <c r="D611" s="6" t="str">
        <f>"202115010715"</f>
        <v>202115010715</v>
      </c>
      <c r="E611" s="10" t="s">
        <v>20</v>
      </c>
      <c r="F611" s="6" t="s">
        <v>9</v>
      </c>
      <c r="G611" s="8">
        <v>65.8</v>
      </c>
      <c r="H611" s="6"/>
    </row>
    <row r="612" spans="1:8">
      <c r="A612" s="5">
        <v>505</v>
      </c>
      <c r="B612" s="6" t="str">
        <f>"肖阳"</f>
        <v>肖阳</v>
      </c>
      <c r="C612" s="6" t="str">
        <f t="shared" si="28"/>
        <v>女</v>
      </c>
      <c r="D612" s="6" t="str">
        <f>"202115010716"</f>
        <v>202115010716</v>
      </c>
      <c r="E612" s="10" t="s">
        <v>20</v>
      </c>
      <c r="F612" s="6" t="s">
        <v>9</v>
      </c>
      <c r="G612" s="8">
        <v>0</v>
      </c>
      <c r="H612" s="9">
        <v>1</v>
      </c>
    </row>
    <row r="613" spans="1:8">
      <c r="A613" s="5">
        <v>525</v>
      </c>
      <c r="B613" s="6" t="str">
        <f>"刘琳"</f>
        <v>刘琳</v>
      </c>
      <c r="C613" s="6" t="str">
        <f t="shared" si="28"/>
        <v>女</v>
      </c>
      <c r="D613" s="6" t="str">
        <f>"202115010717"</f>
        <v>202115010717</v>
      </c>
      <c r="E613" s="10" t="s">
        <v>20</v>
      </c>
      <c r="F613" s="6" t="s">
        <v>9</v>
      </c>
      <c r="G613" s="8">
        <v>63.05</v>
      </c>
      <c r="H613" s="6"/>
    </row>
    <row r="614" spans="1:8">
      <c r="A614" s="5">
        <v>236</v>
      </c>
      <c r="B614" s="6" t="str">
        <f>"伍智卉"</f>
        <v>伍智卉</v>
      </c>
      <c r="C614" s="6" t="str">
        <f t="shared" si="28"/>
        <v>女</v>
      </c>
      <c r="D614" s="6" t="str">
        <f>"202115010718"</f>
        <v>202115010718</v>
      </c>
      <c r="E614" s="10" t="s">
        <v>20</v>
      </c>
      <c r="F614" s="6" t="s">
        <v>9</v>
      </c>
      <c r="G614" s="8">
        <v>0</v>
      </c>
      <c r="H614" s="9">
        <v>1</v>
      </c>
    </row>
    <row r="615" spans="1:8">
      <c r="A615" s="5">
        <v>352</v>
      </c>
      <c r="B615" s="6" t="str">
        <f>"姚雯洁"</f>
        <v>姚雯洁</v>
      </c>
      <c r="C615" s="6" t="str">
        <f t="shared" si="28"/>
        <v>女</v>
      </c>
      <c r="D615" s="6" t="str">
        <f>"202115010719"</f>
        <v>202115010719</v>
      </c>
      <c r="E615" s="10" t="s">
        <v>20</v>
      </c>
      <c r="F615" s="6" t="s">
        <v>9</v>
      </c>
      <c r="G615" s="8">
        <v>66.3</v>
      </c>
      <c r="H615" s="6"/>
    </row>
    <row r="616" spans="1:8">
      <c r="A616" s="5">
        <v>658</v>
      </c>
      <c r="B616" s="6" t="str">
        <f>"周楚涵"</f>
        <v>周楚涵</v>
      </c>
      <c r="C616" s="6" t="str">
        <f t="shared" si="28"/>
        <v>女</v>
      </c>
      <c r="D616" s="6" t="str">
        <f>"202115010720"</f>
        <v>202115010720</v>
      </c>
      <c r="E616" s="10" t="s">
        <v>20</v>
      </c>
      <c r="F616" s="6" t="s">
        <v>9</v>
      </c>
      <c r="G616" s="8">
        <v>64.95</v>
      </c>
      <c r="H616" s="6"/>
    </row>
    <row r="617" spans="1:8">
      <c r="A617" s="5">
        <v>595</v>
      </c>
      <c r="B617" s="6" t="str">
        <f>"朱姣"</f>
        <v>朱姣</v>
      </c>
      <c r="C617" s="6" t="str">
        <f t="shared" si="28"/>
        <v>女</v>
      </c>
      <c r="D617" s="6" t="str">
        <f>"202115010721"</f>
        <v>202115010721</v>
      </c>
      <c r="E617" s="10" t="s">
        <v>20</v>
      </c>
      <c r="F617" s="6" t="s">
        <v>9</v>
      </c>
      <c r="G617" s="8">
        <v>64.75</v>
      </c>
      <c r="H617" s="6"/>
    </row>
    <row r="618" spans="1:8">
      <c r="A618" s="5">
        <v>394</v>
      </c>
      <c r="B618" s="6" t="str">
        <f>"黄蕾"</f>
        <v>黄蕾</v>
      </c>
      <c r="C618" s="6" t="str">
        <f t="shared" si="28"/>
        <v>女</v>
      </c>
      <c r="D618" s="6" t="str">
        <f>"202115010722"</f>
        <v>202115010722</v>
      </c>
      <c r="E618" s="10" t="s">
        <v>20</v>
      </c>
      <c r="F618" s="6" t="s">
        <v>9</v>
      </c>
      <c r="G618" s="8">
        <v>61.15</v>
      </c>
      <c r="H618" s="6"/>
    </row>
    <row r="619" spans="1:8">
      <c r="A619" s="5">
        <v>220</v>
      </c>
      <c r="B619" s="6" t="str">
        <f>"邓倩"</f>
        <v>邓倩</v>
      </c>
      <c r="C619" s="6" t="str">
        <f t="shared" si="28"/>
        <v>女</v>
      </c>
      <c r="D619" s="6" t="str">
        <f>"202115010723"</f>
        <v>202115010723</v>
      </c>
      <c r="E619" s="10" t="s">
        <v>20</v>
      </c>
      <c r="F619" s="6" t="s">
        <v>9</v>
      </c>
      <c r="G619" s="8">
        <v>0</v>
      </c>
      <c r="H619" s="9">
        <v>1</v>
      </c>
    </row>
    <row r="620" spans="1:8">
      <c r="A620" s="5">
        <v>270</v>
      </c>
      <c r="B620" s="6" t="str">
        <f>"谭莉菁"</f>
        <v>谭莉菁</v>
      </c>
      <c r="C620" s="6" t="str">
        <f t="shared" si="28"/>
        <v>女</v>
      </c>
      <c r="D620" s="6" t="str">
        <f>"202115010724"</f>
        <v>202115010724</v>
      </c>
      <c r="E620" s="10" t="s">
        <v>20</v>
      </c>
      <c r="F620" s="6" t="s">
        <v>9</v>
      </c>
      <c r="G620" s="8">
        <v>62.05</v>
      </c>
      <c r="H620" s="6"/>
    </row>
    <row r="621" spans="1:8">
      <c r="A621" s="5">
        <v>404</v>
      </c>
      <c r="B621" s="6" t="str">
        <f>"赵林"</f>
        <v>赵林</v>
      </c>
      <c r="C621" s="6" t="str">
        <f t="shared" si="28"/>
        <v>女</v>
      </c>
      <c r="D621" s="6" t="str">
        <f>"202115010725"</f>
        <v>202115010725</v>
      </c>
      <c r="E621" s="10" t="s">
        <v>20</v>
      </c>
      <c r="F621" s="6" t="s">
        <v>9</v>
      </c>
      <c r="G621" s="8">
        <v>51.2</v>
      </c>
      <c r="H621" s="6"/>
    </row>
    <row r="622" spans="1:8">
      <c r="A622" s="5">
        <v>318</v>
      </c>
      <c r="B622" s="6" t="str">
        <f>"谭志琪"</f>
        <v>谭志琪</v>
      </c>
      <c r="C622" s="6" t="str">
        <f t="shared" si="28"/>
        <v>女</v>
      </c>
      <c r="D622" s="6" t="str">
        <f>"202115010726"</f>
        <v>202115010726</v>
      </c>
      <c r="E622" s="10" t="s">
        <v>20</v>
      </c>
      <c r="F622" s="6" t="s">
        <v>9</v>
      </c>
      <c r="G622" s="8">
        <v>63.45</v>
      </c>
      <c r="H622" s="6"/>
    </row>
    <row r="623" spans="1:8">
      <c r="A623" s="5">
        <v>330</v>
      </c>
      <c r="B623" s="6" t="str">
        <f>"申欢洁"</f>
        <v>申欢洁</v>
      </c>
      <c r="C623" s="6" t="str">
        <f t="shared" si="28"/>
        <v>女</v>
      </c>
      <c r="D623" s="6" t="str">
        <f>"202115010727"</f>
        <v>202115010727</v>
      </c>
      <c r="E623" s="10" t="s">
        <v>20</v>
      </c>
      <c r="F623" s="6" t="s">
        <v>9</v>
      </c>
      <c r="G623" s="8">
        <v>73.95</v>
      </c>
      <c r="H623" s="6"/>
    </row>
    <row r="624" spans="1:8">
      <c r="A624" s="5">
        <v>399</v>
      </c>
      <c r="B624" s="6" t="str">
        <f>"向柠竹"</f>
        <v>向柠竹</v>
      </c>
      <c r="C624" s="6" t="str">
        <f t="shared" si="28"/>
        <v>女</v>
      </c>
      <c r="D624" s="6" t="str">
        <f>"202115010728"</f>
        <v>202115010728</v>
      </c>
      <c r="E624" s="10" t="s">
        <v>20</v>
      </c>
      <c r="F624" s="6" t="s">
        <v>9</v>
      </c>
      <c r="G624" s="8">
        <v>58.9</v>
      </c>
      <c r="H624" s="6"/>
    </row>
    <row r="625" spans="1:8">
      <c r="A625" s="5">
        <v>357</v>
      </c>
      <c r="B625" s="6" t="str">
        <f>"钟莉"</f>
        <v>钟莉</v>
      </c>
      <c r="C625" s="6" t="str">
        <f t="shared" si="28"/>
        <v>女</v>
      </c>
      <c r="D625" s="6" t="str">
        <f>"202115010729"</f>
        <v>202115010729</v>
      </c>
      <c r="E625" s="10" t="s">
        <v>20</v>
      </c>
      <c r="F625" s="6" t="s">
        <v>9</v>
      </c>
      <c r="G625" s="8">
        <v>54.55</v>
      </c>
      <c r="H625" s="6"/>
    </row>
    <row r="626" spans="1:8">
      <c r="A626" s="5">
        <v>644</v>
      </c>
      <c r="B626" s="6" t="str">
        <f>"石诗琴"</f>
        <v>石诗琴</v>
      </c>
      <c r="C626" s="6" t="str">
        <f t="shared" si="28"/>
        <v>女</v>
      </c>
      <c r="D626" s="6" t="str">
        <f>"202115010730"</f>
        <v>202115010730</v>
      </c>
      <c r="E626" s="10" t="s">
        <v>20</v>
      </c>
      <c r="F626" s="6" t="s">
        <v>9</v>
      </c>
      <c r="G626" s="8">
        <v>57.95</v>
      </c>
      <c r="H626" s="6"/>
    </row>
    <row r="627" spans="1:8">
      <c r="A627" s="5">
        <v>255</v>
      </c>
      <c r="B627" s="6" t="str">
        <f>"石曦"</f>
        <v>石曦</v>
      </c>
      <c r="C627" s="6" t="str">
        <f t="shared" si="28"/>
        <v>女</v>
      </c>
      <c r="D627" s="6" t="str">
        <f>"202115010801"</f>
        <v>202115010801</v>
      </c>
      <c r="E627" s="10" t="s">
        <v>20</v>
      </c>
      <c r="F627" s="6" t="s">
        <v>9</v>
      </c>
      <c r="G627" s="8">
        <v>58.3</v>
      </c>
      <c r="H627" s="6"/>
    </row>
    <row r="628" spans="1:8">
      <c r="A628" s="5">
        <v>309</v>
      </c>
      <c r="B628" s="6" t="str">
        <f>"曾晓倩"</f>
        <v>曾晓倩</v>
      </c>
      <c r="C628" s="6" t="str">
        <f t="shared" si="28"/>
        <v>女</v>
      </c>
      <c r="D628" s="6" t="str">
        <f>"202115010802"</f>
        <v>202115010802</v>
      </c>
      <c r="E628" s="10" t="s">
        <v>20</v>
      </c>
      <c r="F628" s="6" t="s">
        <v>9</v>
      </c>
      <c r="G628" s="8">
        <v>55.6</v>
      </c>
      <c r="H628" s="6"/>
    </row>
    <row r="629" spans="1:8">
      <c r="A629" s="5">
        <v>347</v>
      </c>
      <c r="B629" s="6" t="str">
        <f>"艾丽丽"</f>
        <v>艾丽丽</v>
      </c>
      <c r="C629" s="6" t="str">
        <f t="shared" si="28"/>
        <v>女</v>
      </c>
      <c r="D629" s="6" t="str">
        <f>"202115010803"</f>
        <v>202115010803</v>
      </c>
      <c r="E629" s="10" t="s">
        <v>20</v>
      </c>
      <c r="F629" s="6" t="s">
        <v>9</v>
      </c>
      <c r="G629" s="8">
        <v>54.5</v>
      </c>
      <c r="H629" s="6"/>
    </row>
    <row r="630" spans="1:8">
      <c r="A630" s="5">
        <v>373</v>
      </c>
      <c r="B630" s="6" t="str">
        <f>"罗霞"</f>
        <v>罗霞</v>
      </c>
      <c r="C630" s="6" t="str">
        <f t="shared" si="28"/>
        <v>女</v>
      </c>
      <c r="D630" s="6" t="str">
        <f>"202115010804"</f>
        <v>202115010804</v>
      </c>
      <c r="E630" s="10" t="s">
        <v>20</v>
      </c>
      <c r="F630" s="6" t="s">
        <v>9</v>
      </c>
      <c r="G630" s="8">
        <v>56.25</v>
      </c>
      <c r="H630" s="6"/>
    </row>
    <row r="631" spans="1:8">
      <c r="A631" s="5">
        <v>247</v>
      </c>
      <c r="B631" s="6" t="str">
        <f>"张雨琦"</f>
        <v>张雨琦</v>
      </c>
      <c r="C631" s="6" t="str">
        <f t="shared" si="28"/>
        <v>女</v>
      </c>
      <c r="D631" s="6" t="str">
        <f>"202115010805"</f>
        <v>202115010805</v>
      </c>
      <c r="E631" s="10" t="s">
        <v>20</v>
      </c>
      <c r="F631" s="6" t="s">
        <v>9</v>
      </c>
      <c r="G631" s="8">
        <v>0</v>
      </c>
      <c r="H631" s="9">
        <v>1</v>
      </c>
    </row>
    <row r="632" spans="1:8">
      <c r="A632" s="5">
        <v>341</v>
      </c>
      <c r="B632" s="6" t="str">
        <f>"张丽"</f>
        <v>张丽</v>
      </c>
      <c r="C632" s="6" t="str">
        <f t="shared" si="28"/>
        <v>女</v>
      </c>
      <c r="D632" s="6" t="str">
        <f>"202115010806"</f>
        <v>202115010806</v>
      </c>
      <c r="E632" s="10" t="s">
        <v>20</v>
      </c>
      <c r="F632" s="6" t="s">
        <v>9</v>
      </c>
      <c r="G632" s="8">
        <v>58.85</v>
      </c>
      <c r="H632" s="6"/>
    </row>
    <row r="633" spans="1:8">
      <c r="A633" s="5">
        <v>358</v>
      </c>
      <c r="B633" s="6" t="str">
        <f>"刘媛晖"</f>
        <v>刘媛晖</v>
      </c>
      <c r="C633" s="6" t="str">
        <f t="shared" si="28"/>
        <v>女</v>
      </c>
      <c r="D633" s="6" t="str">
        <f>"202115010807"</f>
        <v>202115010807</v>
      </c>
      <c r="E633" s="10" t="s">
        <v>20</v>
      </c>
      <c r="F633" s="6" t="s">
        <v>9</v>
      </c>
      <c r="G633" s="8">
        <v>0</v>
      </c>
      <c r="H633" s="9">
        <v>1</v>
      </c>
    </row>
    <row r="634" spans="1:8">
      <c r="A634" s="5">
        <v>610</v>
      </c>
      <c r="B634" s="6" t="str">
        <f>"陈昭"</f>
        <v>陈昭</v>
      </c>
      <c r="C634" s="6" t="str">
        <f t="shared" si="28"/>
        <v>女</v>
      </c>
      <c r="D634" s="6" t="str">
        <f>"202115010808"</f>
        <v>202115010808</v>
      </c>
      <c r="E634" s="10" t="s">
        <v>20</v>
      </c>
      <c r="F634" s="6" t="s">
        <v>9</v>
      </c>
      <c r="G634" s="8">
        <v>42.55</v>
      </c>
      <c r="H634" s="6"/>
    </row>
    <row r="635" spans="1:8">
      <c r="A635" s="5">
        <v>257</v>
      </c>
      <c r="B635" s="6" t="str">
        <f>"付绿艳"</f>
        <v>付绿艳</v>
      </c>
      <c r="C635" s="6" t="str">
        <f t="shared" si="28"/>
        <v>女</v>
      </c>
      <c r="D635" s="6" t="str">
        <f>"202115010809"</f>
        <v>202115010809</v>
      </c>
      <c r="E635" s="10" t="s">
        <v>20</v>
      </c>
      <c r="F635" s="6" t="s">
        <v>9</v>
      </c>
      <c r="G635" s="8">
        <v>54.45</v>
      </c>
      <c r="H635" s="6"/>
    </row>
    <row r="636" spans="1:8">
      <c r="A636" s="5">
        <v>616</v>
      </c>
      <c r="B636" s="6" t="str">
        <f>"王姣姣"</f>
        <v>王姣姣</v>
      </c>
      <c r="C636" s="6" t="str">
        <f t="shared" si="28"/>
        <v>女</v>
      </c>
      <c r="D636" s="6" t="str">
        <f>"202115010810"</f>
        <v>202115010810</v>
      </c>
      <c r="E636" s="10" t="s">
        <v>20</v>
      </c>
      <c r="F636" s="6" t="s">
        <v>9</v>
      </c>
      <c r="G636" s="8">
        <v>58.4</v>
      </c>
      <c r="H636" s="6"/>
    </row>
    <row r="637" spans="1:8">
      <c r="A637" s="5">
        <v>624</v>
      </c>
      <c r="B637" s="6" t="str">
        <f>"程瑞斐"</f>
        <v>程瑞斐</v>
      </c>
      <c r="C637" s="6" t="str">
        <f t="shared" si="28"/>
        <v>女</v>
      </c>
      <c r="D637" s="6" t="str">
        <f>"202115010811"</f>
        <v>202115010811</v>
      </c>
      <c r="E637" s="10" t="s">
        <v>20</v>
      </c>
      <c r="F637" s="6" t="s">
        <v>9</v>
      </c>
      <c r="G637" s="8">
        <v>52.65</v>
      </c>
      <c r="H637" s="6"/>
    </row>
    <row r="638" spans="1:8">
      <c r="A638" s="5">
        <v>371</v>
      </c>
      <c r="B638" s="6" t="str">
        <f>"陈志鸿"</f>
        <v>陈志鸿</v>
      </c>
      <c r="C638" s="6" t="str">
        <f t="shared" si="28"/>
        <v>女</v>
      </c>
      <c r="D638" s="6" t="str">
        <f>"202115010812"</f>
        <v>202115010812</v>
      </c>
      <c r="E638" s="10" t="s">
        <v>20</v>
      </c>
      <c r="F638" s="6" t="s">
        <v>9</v>
      </c>
      <c r="G638" s="8">
        <v>64.55</v>
      </c>
      <c r="H638" s="6"/>
    </row>
    <row r="639" spans="1:8">
      <c r="A639" s="5">
        <v>368</v>
      </c>
      <c r="B639" s="6" t="str">
        <f>"刘梦兰"</f>
        <v>刘梦兰</v>
      </c>
      <c r="C639" s="6" t="str">
        <f t="shared" ref="C639:C670" si="29">"女"</f>
        <v>女</v>
      </c>
      <c r="D639" s="6" t="str">
        <f>"202115010813"</f>
        <v>202115010813</v>
      </c>
      <c r="E639" s="10" t="s">
        <v>20</v>
      </c>
      <c r="F639" s="6" t="s">
        <v>9</v>
      </c>
      <c r="G639" s="8">
        <v>69.7</v>
      </c>
      <c r="H639" s="6"/>
    </row>
    <row r="640" spans="1:8">
      <c r="A640" s="5">
        <v>538</v>
      </c>
      <c r="B640" s="6" t="str">
        <f>"徐鑫"</f>
        <v>徐鑫</v>
      </c>
      <c r="C640" s="6" t="str">
        <f t="shared" si="29"/>
        <v>女</v>
      </c>
      <c r="D640" s="6" t="str">
        <f>"202115010814"</f>
        <v>202115010814</v>
      </c>
      <c r="E640" s="10" t="s">
        <v>20</v>
      </c>
      <c r="F640" s="6" t="s">
        <v>9</v>
      </c>
      <c r="G640" s="8">
        <v>66.7</v>
      </c>
      <c r="H640" s="6"/>
    </row>
    <row r="641" spans="1:8">
      <c r="A641" s="5">
        <v>434</v>
      </c>
      <c r="B641" s="6" t="str">
        <f>"刘思"</f>
        <v>刘思</v>
      </c>
      <c r="C641" s="6" t="str">
        <f t="shared" si="29"/>
        <v>女</v>
      </c>
      <c r="D641" s="6" t="str">
        <f>"202115010815"</f>
        <v>202115010815</v>
      </c>
      <c r="E641" s="10" t="s">
        <v>20</v>
      </c>
      <c r="F641" s="6" t="s">
        <v>9</v>
      </c>
      <c r="G641" s="8">
        <v>59.15</v>
      </c>
      <c r="H641" s="6"/>
    </row>
    <row r="642" spans="1:8">
      <c r="A642" s="5">
        <v>426</v>
      </c>
      <c r="B642" s="6" t="str">
        <f>"步行"</f>
        <v>步行</v>
      </c>
      <c r="C642" s="6" t="str">
        <f t="shared" si="29"/>
        <v>女</v>
      </c>
      <c r="D642" s="6" t="str">
        <f>"202115010816"</f>
        <v>202115010816</v>
      </c>
      <c r="E642" s="10" t="s">
        <v>20</v>
      </c>
      <c r="F642" s="6" t="s">
        <v>9</v>
      </c>
      <c r="G642" s="8">
        <v>59.35</v>
      </c>
      <c r="H642" s="6"/>
    </row>
    <row r="643" spans="1:8">
      <c r="A643" s="5">
        <v>613</v>
      </c>
      <c r="B643" s="6" t="str">
        <f>"彭丽洁"</f>
        <v>彭丽洁</v>
      </c>
      <c r="C643" s="6" t="str">
        <f t="shared" si="29"/>
        <v>女</v>
      </c>
      <c r="D643" s="6" t="str">
        <f>"202115010817"</f>
        <v>202115010817</v>
      </c>
      <c r="E643" s="10" t="s">
        <v>20</v>
      </c>
      <c r="F643" s="6" t="s">
        <v>9</v>
      </c>
      <c r="G643" s="8">
        <v>58.3</v>
      </c>
      <c r="H643" s="6"/>
    </row>
    <row r="644" spans="1:8">
      <c r="A644" s="5">
        <v>568</v>
      </c>
      <c r="B644" s="6" t="str">
        <f>"肖紫叶"</f>
        <v>肖紫叶</v>
      </c>
      <c r="C644" s="6" t="str">
        <f t="shared" si="29"/>
        <v>女</v>
      </c>
      <c r="D644" s="6" t="str">
        <f>"202115010818"</f>
        <v>202115010818</v>
      </c>
      <c r="E644" s="10" t="s">
        <v>20</v>
      </c>
      <c r="F644" s="6" t="s">
        <v>9</v>
      </c>
      <c r="G644" s="8">
        <v>58.45</v>
      </c>
      <c r="H644" s="6"/>
    </row>
    <row r="645" spans="1:8">
      <c r="A645" s="5">
        <v>280</v>
      </c>
      <c r="B645" s="6" t="str">
        <f>"周小艳"</f>
        <v>周小艳</v>
      </c>
      <c r="C645" s="6" t="str">
        <f t="shared" si="29"/>
        <v>女</v>
      </c>
      <c r="D645" s="6" t="str">
        <f>"202115010819"</f>
        <v>202115010819</v>
      </c>
      <c r="E645" s="10" t="s">
        <v>20</v>
      </c>
      <c r="F645" s="6" t="s">
        <v>9</v>
      </c>
      <c r="G645" s="8">
        <v>63.25</v>
      </c>
      <c r="H645" s="6"/>
    </row>
    <row r="646" spans="1:8">
      <c r="A646" s="5">
        <v>437</v>
      </c>
      <c r="B646" s="6" t="str">
        <f>"杨芳"</f>
        <v>杨芳</v>
      </c>
      <c r="C646" s="6" t="str">
        <f t="shared" si="29"/>
        <v>女</v>
      </c>
      <c r="D646" s="6" t="str">
        <f>"202115010820"</f>
        <v>202115010820</v>
      </c>
      <c r="E646" s="10" t="s">
        <v>20</v>
      </c>
      <c r="F646" s="6" t="s">
        <v>9</v>
      </c>
      <c r="G646" s="8">
        <v>53.75</v>
      </c>
      <c r="H646" s="6"/>
    </row>
    <row r="647" spans="1:8">
      <c r="A647" s="5">
        <v>386</v>
      </c>
      <c r="B647" s="6" t="str">
        <f>"宁圣芝"</f>
        <v>宁圣芝</v>
      </c>
      <c r="C647" s="6" t="str">
        <f t="shared" si="29"/>
        <v>女</v>
      </c>
      <c r="D647" s="6" t="str">
        <f>"202115010821"</f>
        <v>202115010821</v>
      </c>
      <c r="E647" s="10" t="s">
        <v>20</v>
      </c>
      <c r="F647" s="6" t="s">
        <v>9</v>
      </c>
      <c r="G647" s="8">
        <v>56.2</v>
      </c>
      <c r="H647" s="6"/>
    </row>
    <row r="648" spans="1:8">
      <c r="A648" s="5">
        <v>305</v>
      </c>
      <c r="B648" s="6" t="str">
        <f>"罗锦"</f>
        <v>罗锦</v>
      </c>
      <c r="C648" s="6" t="str">
        <f t="shared" si="29"/>
        <v>女</v>
      </c>
      <c r="D648" s="6" t="str">
        <f>"202115010822"</f>
        <v>202115010822</v>
      </c>
      <c r="E648" s="10" t="s">
        <v>20</v>
      </c>
      <c r="F648" s="6" t="s">
        <v>9</v>
      </c>
      <c r="G648" s="8">
        <v>55.6</v>
      </c>
      <c r="H648" s="6"/>
    </row>
    <row r="649" spans="1:8">
      <c r="A649" s="5">
        <v>481</v>
      </c>
      <c r="B649" s="6" t="str">
        <f>"雷燚晴"</f>
        <v>雷燚晴</v>
      </c>
      <c r="C649" s="6" t="str">
        <f t="shared" si="29"/>
        <v>女</v>
      </c>
      <c r="D649" s="6" t="str">
        <f>"202115010823"</f>
        <v>202115010823</v>
      </c>
      <c r="E649" s="10" t="s">
        <v>20</v>
      </c>
      <c r="F649" s="6" t="s">
        <v>9</v>
      </c>
      <c r="G649" s="8">
        <v>58.75</v>
      </c>
      <c r="H649" s="6"/>
    </row>
    <row r="650" spans="1:8">
      <c r="A650" s="5">
        <v>284</v>
      </c>
      <c r="B650" s="6" t="str">
        <f>"石海妮"</f>
        <v>石海妮</v>
      </c>
      <c r="C650" s="6" t="str">
        <f t="shared" si="29"/>
        <v>女</v>
      </c>
      <c r="D650" s="6" t="str">
        <f>"202115010824"</f>
        <v>202115010824</v>
      </c>
      <c r="E650" s="10" t="s">
        <v>20</v>
      </c>
      <c r="F650" s="6" t="s">
        <v>9</v>
      </c>
      <c r="G650" s="8">
        <v>57.7</v>
      </c>
      <c r="H650" s="6"/>
    </row>
    <row r="651" spans="1:8">
      <c r="A651" s="5">
        <v>591</v>
      </c>
      <c r="B651" s="6" t="str">
        <f>"黎思维"</f>
        <v>黎思维</v>
      </c>
      <c r="C651" s="6" t="str">
        <f t="shared" si="29"/>
        <v>女</v>
      </c>
      <c r="D651" s="6" t="str">
        <f>"202115010825"</f>
        <v>202115010825</v>
      </c>
      <c r="E651" s="10" t="s">
        <v>20</v>
      </c>
      <c r="F651" s="6" t="s">
        <v>9</v>
      </c>
      <c r="G651" s="8">
        <v>60.15</v>
      </c>
      <c r="H651" s="6"/>
    </row>
    <row r="652" spans="1:8">
      <c r="A652" s="5">
        <v>469</v>
      </c>
      <c r="B652" s="6" t="str">
        <f>"李沁娟"</f>
        <v>李沁娟</v>
      </c>
      <c r="C652" s="6" t="str">
        <f t="shared" si="29"/>
        <v>女</v>
      </c>
      <c r="D652" s="6" t="str">
        <f>"202115010826"</f>
        <v>202115010826</v>
      </c>
      <c r="E652" s="10" t="s">
        <v>20</v>
      </c>
      <c r="F652" s="6" t="s">
        <v>9</v>
      </c>
      <c r="G652" s="8">
        <v>0</v>
      </c>
      <c r="H652" s="9">
        <v>1</v>
      </c>
    </row>
    <row r="653" spans="1:8">
      <c r="A653" s="5">
        <v>514</v>
      </c>
      <c r="B653" s="6" t="str">
        <f>"夏飞凤"</f>
        <v>夏飞凤</v>
      </c>
      <c r="C653" s="6" t="str">
        <f t="shared" si="29"/>
        <v>女</v>
      </c>
      <c r="D653" s="6" t="str">
        <f>"202115010827"</f>
        <v>202115010827</v>
      </c>
      <c r="E653" s="10" t="s">
        <v>20</v>
      </c>
      <c r="F653" s="6" t="s">
        <v>9</v>
      </c>
      <c r="G653" s="8">
        <v>46.45</v>
      </c>
      <c r="H653" s="6"/>
    </row>
    <row r="654" spans="1:8">
      <c r="A654" s="5">
        <v>641</v>
      </c>
      <c r="B654" s="6" t="str">
        <f>"郑雄芳"</f>
        <v>郑雄芳</v>
      </c>
      <c r="C654" s="6" t="str">
        <f t="shared" si="29"/>
        <v>女</v>
      </c>
      <c r="D654" s="6" t="str">
        <f>"202115010828"</f>
        <v>202115010828</v>
      </c>
      <c r="E654" s="10" t="s">
        <v>20</v>
      </c>
      <c r="F654" s="6" t="s">
        <v>9</v>
      </c>
      <c r="G654" s="8">
        <v>64.900000000000006</v>
      </c>
      <c r="H654" s="6"/>
    </row>
    <row r="655" spans="1:8">
      <c r="A655" s="5">
        <v>348</v>
      </c>
      <c r="B655" s="6" t="str">
        <f>"吕航"</f>
        <v>吕航</v>
      </c>
      <c r="C655" s="6" t="str">
        <f t="shared" si="29"/>
        <v>女</v>
      </c>
      <c r="D655" s="6" t="str">
        <f>"202115010829"</f>
        <v>202115010829</v>
      </c>
      <c r="E655" s="10" t="s">
        <v>20</v>
      </c>
      <c r="F655" s="6" t="s">
        <v>9</v>
      </c>
      <c r="G655" s="8">
        <v>50</v>
      </c>
      <c r="H655" s="6"/>
    </row>
    <row r="656" spans="1:8">
      <c r="A656" s="5">
        <v>460</v>
      </c>
      <c r="B656" s="6" t="str">
        <f>"黎洋"</f>
        <v>黎洋</v>
      </c>
      <c r="C656" s="6" t="str">
        <f t="shared" si="29"/>
        <v>女</v>
      </c>
      <c r="D656" s="6" t="str">
        <f>"202115010830"</f>
        <v>202115010830</v>
      </c>
      <c r="E656" s="10" t="s">
        <v>20</v>
      </c>
      <c r="F656" s="6" t="s">
        <v>9</v>
      </c>
      <c r="G656" s="8">
        <v>0</v>
      </c>
      <c r="H656" s="9">
        <v>1</v>
      </c>
    </row>
    <row r="657" spans="1:8">
      <c r="A657" s="5">
        <v>586</v>
      </c>
      <c r="B657" s="6" t="str">
        <f>"朱紫晴"</f>
        <v>朱紫晴</v>
      </c>
      <c r="C657" s="6" t="str">
        <f t="shared" si="29"/>
        <v>女</v>
      </c>
      <c r="D657" s="6" t="str">
        <f>"202115010901"</f>
        <v>202115010901</v>
      </c>
      <c r="E657" s="10" t="s">
        <v>20</v>
      </c>
      <c r="F657" s="6" t="s">
        <v>9</v>
      </c>
      <c r="G657" s="8">
        <v>63.15</v>
      </c>
      <c r="H657" s="6"/>
    </row>
    <row r="658" spans="1:8">
      <c r="A658" s="5">
        <v>639</v>
      </c>
      <c r="B658" s="6" t="str">
        <f>"钟妮"</f>
        <v>钟妮</v>
      </c>
      <c r="C658" s="6" t="str">
        <f t="shared" si="29"/>
        <v>女</v>
      </c>
      <c r="D658" s="6" t="str">
        <f>"202115010902"</f>
        <v>202115010902</v>
      </c>
      <c r="E658" s="10" t="s">
        <v>20</v>
      </c>
      <c r="F658" s="6" t="s">
        <v>9</v>
      </c>
      <c r="G658" s="8">
        <v>53.35</v>
      </c>
      <c r="H658" s="6"/>
    </row>
    <row r="659" spans="1:8">
      <c r="A659" s="5">
        <v>238</v>
      </c>
      <c r="B659" s="6" t="str">
        <f>"周芝琴"</f>
        <v>周芝琴</v>
      </c>
      <c r="C659" s="6" t="str">
        <f t="shared" si="29"/>
        <v>女</v>
      </c>
      <c r="D659" s="6" t="str">
        <f>"202115010903"</f>
        <v>202115010903</v>
      </c>
      <c r="E659" s="10" t="s">
        <v>20</v>
      </c>
      <c r="F659" s="6" t="s">
        <v>9</v>
      </c>
      <c r="G659" s="8">
        <v>0</v>
      </c>
      <c r="H659" s="9">
        <v>1</v>
      </c>
    </row>
    <row r="660" spans="1:8">
      <c r="A660" s="5">
        <v>561</v>
      </c>
      <c r="B660" s="6" t="str">
        <f>"邓莹莹"</f>
        <v>邓莹莹</v>
      </c>
      <c r="C660" s="6" t="str">
        <f t="shared" si="29"/>
        <v>女</v>
      </c>
      <c r="D660" s="6" t="str">
        <f>"202115010904"</f>
        <v>202115010904</v>
      </c>
      <c r="E660" s="10" t="s">
        <v>20</v>
      </c>
      <c r="F660" s="6" t="s">
        <v>9</v>
      </c>
      <c r="G660" s="8">
        <v>69.75</v>
      </c>
      <c r="H660" s="6"/>
    </row>
    <row r="661" spans="1:8">
      <c r="A661" s="5">
        <v>530</v>
      </c>
      <c r="B661" s="6" t="str">
        <f>"尹冬艳"</f>
        <v>尹冬艳</v>
      </c>
      <c r="C661" s="6" t="str">
        <f t="shared" si="29"/>
        <v>女</v>
      </c>
      <c r="D661" s="6" t="str">
        <f>"202115010905"</f>
        <v>202115010905</v>
      </c>
      <c r="E661" s="10" t="s">
        <v>20</v>
      </c>
      <c r="F661" s="6" t="s">
        <v>9</v>
      </c>
      <c r="G661" s="8">
        <v>48.05</v>
      </c>
      <c r="H661" s="6"/>
    </row>
    <row r="662" spans="1:8">
      <c r="A662" s="5">
        <v>650</v>
      </c>
      <c r="B662" s="6" t="str">
        <f>"刘婕"</f>
        <v>刘婕</v>
      </c>
      <c r="C662" s="6" t="str">
        <f t="shared" si="29"/>
        <v>女</v>
      </c>
      <c r="D662" s="6" t="str">
        <f>"202115010906"</f>
        <v>202115010906</v>
      </c>
      <c r="E662" s="10" t="s">
        <v>20</v>
      </c>
      <c r="F662" s="6" t="s">
        <v>9</v>
      </c>
      <c r="G662" s="8">
        <v>49.8</v>
      </c>
      <c r="H662" s="6"/>
    </row>
    <row r="663" spans="1:8">
      <c r="A663" s="5">
        <v>223</v>
      </c>
      <c r="B663" s="6" t="str">
        <f>"谭昕妍"</f>
        <v>谭昕妍</v>
      </c>
      <c r="C663" s="6" t="str">
        <f t="shared" si="29"/>
        <v>女</v>
      </c>
      <c r="D663" s="6" t="str">
        <f>"202115010907"</f>
        <v>202115010907</v>
      </c>
      <c r="E663" s="10" t="s">
        <v>20</v>
      </c>
      <c r="F663" s="6" t="s">
        <v>9</v>
      </c>
      <c r="G663" s="8">
        <v>0</v>
      </c>
      <c r="H663" s="9">
        <v>1</v>
      </c>
    </row>
    <row r="664" spans="1:8">
      <c r="A664" s="5">
        <v>579</v>
      </c>
      <c r="B664" s="6" t="str">
        <f>"刘倩"</f>
        <v>刘倩</v>
      </c>
      <c r="C664" s="6" t="str">
        <f t="shared" si="29"/>
        <v>女</v>
      </c>
      <c r="D664" s="6" t="str">
        <f>"202115010908"</f>
        <v>202115010908</v>
      </c>
      <c r="E664" s="10" t="s">
        <v>20</v>
      </c>
      <c r="F664" s="6" t="s">
        <v>9</v>
      </c>
      <c r="G664" s="8">
        <v>68.349999999999994</v>
      </c>
      <c r="H664" s="6"/>
    </row>
    <row r="665" spans="1:8">
      <c r="A665" s="5">
        <v>297</v>
      </c>
      <c r="B665" s="6" t="str">
        <f>"刘梦瑶"</f>
        <v>刘梦瑶</v>
      </c>
      <c r="C665" s="6" t="str">
        <f t="shared" si="29"/>
        <v>女</v>
      </c>
      <c r="D665" s="6" t="str">
        <f>"202115010909"</f>
        <v>202115010909</v>
      </c>
      <c r="E665" s="10" t="s">
        <v>20</v>
      </c>
      <c r="F665" s="6" t="s">
        <v>9</v>
      </c>
      <c r="G665" s="8">
        <v>55.8</v>
      </c>
      <c r="H665" s="6"/>
    </row>
    <row r="666" spans="1:8">
      <c r="A666" s="5">
        <v>485</v>
      </c>
      <c r="B666" s="6" t="str">
        <f>"欧阳倩"</f>
        <v>欧阳倩</v>
      </c>
      <c r="C666" s="6" t="str">
        <f t="shared" si="29"/>
        <v>女</v>
      </c>
      <c r="D666" s="6" t="str">
        <f>"202115010910"</f>
        <v>202115010910</v>
      </c>
      <c r="E666" s="10" t="s">
        <v>20</v>
      </c>
      <c r="F666" s="6" t="s">
        <v>9</v>
      </c>
      <c r="G666" s="8">
        <v>44.65</v>
      </c>
      <c r="H666" s="6"/>
    </row>
    <row r="667" spans="1:8">
      <c r="A667" s="5">
        <v>600</v>
      </c>
      <c r="B667" s="6" t="str">
        <f>"赵丽鸣"</f>
        <v>赵丽鸣</v>
      </c>
      <c r="C667" s="6" t="str">
        <f t="shared" si="29"/>
        <v>女</v>
      </c>
      <c r="D667" s="6" t="str">
        <f>"202115010911"</f>
        <v>202115010911</v>
      </c>
      <c r="E667" s="10" t="s">
        <v>20</v>
      </c>
      <c r="F667" s="6" t="s">
        <v>9</v>
      </c>
      <c r="G667" s="8">
        <v>0</v>
      </c>
      <c r="H667" s="9">
        <v>1</v>
      </c>
    </row>
    <row r="668" spans="1:8">
      <c r="A668" s="5">
        <v>542</v>
      </c>
      <c r="B668" s="6" t="str">
        <f>"张朝岚"</f>
        <v>张朝岚</v>
      </c>
      <c r="C668" s="6" t="str">
        <f t="shared" si="29"/>
        <v>女</v>
      </c>
      <c r="D668" s="6" t="str">
        <f>"202115010912"</f>
        <v>202115010912</v>
      </c>
      <c r="E668" s="10" t="s">
        <v>20</v>
      </c>
      <c r="F668" s="6" t="s">
        <v>9</v>
      </c>
      <c r="G668" s="8">
        <v>63.1</v>
      </c>
      <c r="H668" s="6"/>
    </row>
    <row r="669" spans="1:8">
      <c r="A669" s="5">
        <v>502</v>
      </c>
      <c r="B669" s="6" t="str">
        <f>"李玲琳"</f>
        <v>李玲琳</v>
      </c>
      <c r="C669" s="6" t="str">
        <f t="shared" si="29"/>
        <v>女</v>
      </c>
      <c r="D669" s="6" t="str">
        <f>"202115010913"</f>
        <v>202115010913</v>
      </c>
      <c r="E669" s="10" t="s">
        <v>20</v>
      </c>
      <c r="F669" s="6" t="s">
        <v>9</v>
      </c>
      <c r="G669" s="8">
        <v>51.8</v>
      </c>
      <c r="H669" s="6"/>
    </row>
    <row r="670" spans="1:8">
      <c r="A670" s="5">
        <v>593</v>
      </c>
      <c r="B670" s="6" t="str">
        <f>"李澜"</f>
        <v>李澜</v>
      </c>
      <c r="C670" s="6" t="str">
        <f t="shared" si="29"/>
        <v>女</v>
      </c>
      <c r="D670" s="6" t="str">
        <f>"202115010914"</f>
        <v>202115010914</v>
      </c>
      <c r="E670" s="10" t="s">
        <v>20</v>
      </c>
      <c r="F670" s="6" t="s">
        <v>9</v>
      </c>
      <c r="G670" s="8">
        <v>56.5</v>
      </c>
      <c r="H670" s="6"/>
    </row>
    <row r="671" spans="1:8">
      <c r="A671" s="5">
        <v>415</v>
      </c>
      <c r="B671" s="6" t="str">
        <f>"申烨"</f>
        <v>申烨</v>
      </c>
      <c r="C671" s="6" t="str">
        <f t="shared" ref="C671:C702" si="30">"女"</f>
        <v>女</v>
      </c>
      <c r="D671" s="6" t="str">
        <f>"202115010915"</f>
        <v>202115010915</v>
      </c>
      <c r="E671" s="10" t="s">
        <v>20</v>
      </c>
      <c r="F671" s="6" t="s">
        <v>9</v>
      </c>
      <c r="G671" s="8">
        <v>63.7</v>
      </c>
      <c r="H671" s="6"/>
    </row>
    <row r="672" spans="1:8">
      <c r="A672" s="5">
        <v>667</v>
      </c>
      <c r="B672" s="6" t="str">
        <f>"陈洁"</f>
        <v>陈洁</v>
      </c>
      <c r="C672" s="6" t="str">
        <f t="shared" si="30"/>
        <v>女</v>
      </c>
      <c r="D672" s="6" t="str">
        <f>"202115010916"</f>
        <v>202115010916</v>
      </c>
      <c r="E672" s="10" t="s">
        <v>20</v>
      </c>
      <c r="F672" s="6" t="s">
        <v>9</v>
      </c>
      <c r="G672" s="8">
        <v>60.45</v>
      </c>
      <c r="H672" s="6"/>
    </row>
    <row r="673" spans="1:8">
      <c r="A673" s="5">
        <v>321</v>
      </c>
      <c r="B673" s="6" t="str">
        <f>"王旭姗"</f>
        <v>王旭姗</v>
      </c>
      <c r="C673" s="6" t="str">
        <f t="shared" si="30"/>
        <v>女</v>
      </c>
      <c r="D673" s="6" t="str">
        <f>"202115010917"</f>
        <v>202115010917</v>
      </c>
      <c r="E673" s="10" t="s">
        <v>20</v>
      </c>
      <c r="F673" s="6" t="s">
        <v>9</v>
      </c>
      <c r="G673" s="8">
        <v>66.8</v>
      </c>
      <c r="H673" s="6"/>
    </row>
    <row r="674" spans="1:8">
      <c r="A674" s="5">
        <v>531</v>
      </c>
      <c r="B674" s="6" t="str">
        <f>"谢诗瑶"</f>
        <v>谢诗瑶</v>
      </c>
      <c r="C674" s="6" t="str">
        <f t="shared" si="30"/>
        <v>女</v>
      </c>
      <c r="D674" s="6" t="str">
        <f>"202115010918"</f>
        <v>202115010918</v>
      </c>
      <c r="E674" s="10" t="s">
        <v>20</v>
      </c>
      <c r="F674" s="6" t="s">
        <v>9</v>
      </c>
      <c r="G674" s="8">
        <v>68.55</v>
      </c>
      <c r="H674" s="6"/>
    </row>
    <row r="675" spans="1:8">
      <c r="A675" s="5">
        <v>677</v>
      </c>
      <c r="B675" s="6" t="str">
        <f>"唐雪"</f>
        <v>唐雪</v>
      </c>
      <c r="C675" s="6" t="str">
        <f t="shared" si="30"/>
        <v>女</v>
      </c>
      <c r="D675" s="6" t="str">
        <f>"202115010919"</f>
        <v>202115010919</v>
      </c>
      <c r="E675" s="10" t="s">
        <v>20</v>
      </c>
      <c r="F675" s="6" t="s">
        <v>9</v>
      </c>
      <c r="G675" s="8">
        <v>61.2</v>
      </c>
      <c r="H675" s="6"/>
    </row>
    <row r="676" spans="1:8">
      <c r="A676" s="5">
        <v>250</v>
      </c>
      <c r="B676" s="6" t="str">
        <f>"李丽斯"</f>
        <v>李丽斯</v>
      </c>
      <c r="C676" s="6" t="str">
        <f t="shared" si="30"/>
        <v>女</v>
      </c>
      <c r="D676" s="6" t="str">
        <f>"202115010920"</f>
        <v>202115010920</v>
      </c>
      <c r="E676" s="10" t="s">
        <v>20</v>
      </c>
      <c r="F676" s="6" t="s">
        <v>9</v>
      </c>
      <c r="G676" s="8">
        <v>0</v>
      </c>
      <c r="H676" s="9">
        <v>1</v>
      </c>
    </row>
    <row r="677" spans="1:8">
      <c r="A677" s="5">
        <v>354</v>
      </c>
      <c r="B677" s="6" t="str">
        <f>"刘君"</f>
        <v>刘君</v>
      </c>
      <c r="C677" s="6" t="str">
        <f t="shared" si="30"/>
        <v>女</v>
      </c>
      <c r="D677" s="6" t="str">
        <f>"202115010921"</f>
        <v>202115010921</v>
      </c>
      <c r="E677" s="10" t="s">
        <v>20</v>
      </c>
      <c r="F677" s="6" t="s">
        <v>9</v>
      </c>
      <c r="G677" s="8">
        <v>58.85</v>
      </c>
      <c r="H677" s="6"/>
    </row>
    <row r="678" spans="1:8">
      <c r="A678" s="5">
        <v>234</v>
      </c>
      <c r="B678" s="6" t="str">
        <f>"唐坚清"</f>
        <v>唐坚清</v>
      </c>
      <c r="C678" s="6" t="str">
        <f t="shared" si="30"/>
        <v>女</v>
      </c>
      <c r="D678" s="6" t="str">
        <f>"202115010922"</f>
        <v>202115010922</v>
      </c>
      <c r="E678" s="10" t="s">
        <v>20</v>
      </c>
      <c r="F678" s="6" t="s">
        <v>9</v>
      </c>
      <c r="G678" s="8">
        <v>0</v>
      </c>
      <c r="H678" s="9">
        <v>1</v>
      </c>
    </row>
    <row r="679" spans="1:8">
      <c r="A679" s="5">
        <v>459</v>
      </c>
      <c r="B679" s="6" t="str">
        <f>"徐丹"</f>
        <v>徐丹</v>
      </c>
      <c r="C679" s="6" t="str">
        <f t="shared" si="30"/>
        <v>女</v>
      </c>
      <c r="D679" s="6" t="str">
        <f>"202115010923"</f>
        <v>202115010923</v>
      </c>
      <c r="E679" s="10" t="s">
        <v>20</v>
      </c>
      <c r="F679" s="6" t="s">
        <v>9</v>
      </c>
      <c r="G679" s="8">
        <v>47.55</v>
      </c>
      <c r="H679" s="6"/>
    </row>
    <row r="680" spans="1:8">
      <c r="A680" s="5">
        <v>278</v>
      </c>
      <c r="B680" s="6" t="str">
        <f>"马露露"</f>
        <v>马露露</v>
      </c>
      <c r="C680" s="6" t="str">
        <f t="shared" si="30"/>
        <v>女</v>
      </c>
      <c r="D680" s="6" t="str">
        <f>"202115010924"</f>
        <v>202115010924</v>
      </c>
      <c r="E680" s="10" t="s">
        <v>20</v>
      </c>
      <c r="F680" s="6" t="s">
        <v>9</v>
      </c>
      <c r="G680" s="8">
        <v>58.35</v>
      </c>
      <c r="H680" s="6"/>
    </row>
    <row r="681" spans="1:8">
      <c r="A681" s="5">
        <v>359</v>
      </c>
      <c r="B681" s="6" t="str">
        <f>"朱琳"</f>
        <v>朱琳</v>
      </c>
      <c r="C681" s="6" t="str">
        <f t="shared" si="30"/>
        <v>女</v>
      </c>
      <c r="D681" s="6" t="str">
        <f>"202115010925"</f>
        <v>202115010925</v>
      </c>
      <c r="E681" s="10" t="s">
        <v>20</v>
      </c>
      <c r="F681" s="6" t="s">
        <v>9</v>
      </c>
      <c r="G681" s="8">
        <v>56.15</v>
      </c>
      <c r="H681" s="6"/>
    </row>
    <row r="682" spans="1:8">
      <c r="A682" s="5">
        <v>643</v>
      </c>
      <c r="B682" s="6" t="str">
        <f>"刘乐意"</f>
        <v>刘乐意</v>
      </c>
      <c r="C682" s="6" t="str">
        <f t="shared" si="30"/>
        <v>女</v>
      </c>
      <c r="D682" s="6" t="str">
        <f>"202115010926"</f>
        <v>202115010926</v>
      </c>
      <c r="E682" s="10" t="s">
        <v>20</v>
      </c>
      <c r="F682" s="6" t="s">
        <v>9</v>
      </c>
      <c r="G682" s="8">
        <v>66.349999999999994</v>
      </c>
      <c r="H682" s="6"/>
    </row>
    <row r="683" spans="1:8">
      <c r="A683" s="5">
        <v>631</v>
      </c>
      <c r="B683" s="6" t="str">
        <f>"谭玲"</f>
        <v>谭玲</v>
      </c>
      <c r="C683" s="6" t="str">
        <f t="shared" si="30"/>
        <v>女</v>
      </c>
      <c r="D683" s="6" t="str">
        <f>"202115010927"</f>
        <v>202115010927</v>
      </c>
      <c r="E683" s="10" t="s">
        <v>20</v>
      </c>
      <c r="F683" s="6" t="s">
        <v>9</v>
      </c>
      <c r="G683" s="8">
        <v>54.7</v>
      </c>
      <c r="H683" s="6"/>
    </row>
    <row r="684" spans="1:8">
      <c r="A684" s="5">
        <v>380</v>
      </c>
      <c r="B684" s="6" t="str">
        <f>"龙丹"</f>
        <v>龙丹</v>
      </c>
      <c r="C684" s="6" t="str">
        <f t="shared" si="30"/>
        <v>女</v>
      </c>
      <c r="D684" s="6" t="str">
        <f>"202115010928"</f>
        <v>202115010928</v>
      </c>
      <c r="E684" s="10" t="s">
        <v>20</v>
      </c>
      <c r="F684" s="6" t="s">
        <v>9</v>
      </c>
      <c r="G684" s="8">
        <v>54.9</v>
      </c>
      <c r="H684" s="6"/>
    </row>
    <row r="685" spans="1:8">
      <c r="A685" s="5">
        <v>679</v>
      </c>
      <c r="B685" s="6" t="str">
        <f>"石丽君"</f>
        <v>石丽君</v>
      </c>
      <c r="C685" s="6" t="str">
        <f t="shared" si="30"/>
        <v>女</v>
      </c>
      <c r="D685" s="6" t="str">
        <f>"202115010929"</f>
        <v>202115010929</v>
      </c>
      <c r="E685" s="10" t="s">
        <v>20</v>
      </c>
      <c r="F685" s="6" t="s">
        <v>9</v>
      </c>
      <c r="G685" s="8">
        <v>62.85</v>
      </c>
      <c r="H685" s="6"/>
    </row>
    <row r="686" spans="1:8">
      <c r="A686" s="5">
        <v>537</v>
      </c>
      <c r="B686" s="6" t="str">
        <f>"刘丽洁"</f>
        <v>刘丽洁</v>
      </c>
      <c r="C686" s="6" t="str">
        <f t="shared" si="30"/>
        <v>女</v>
      </c>
      <c r="D686" s="6" t="str">
        <f>"202115010930"</f>
        <v>202115010930</v>
      </c>
      <c r="E686" s="10" t="s">
        <v>20</v>
      </c>
      <c r="F686" s="6" t="s">
        <v>9</v>
      </c>
      <c r="G686" s="8">
        <v>54.35</v>
      </c>
      <c r="H686" s="6"/>
    </row>
    <row r="687" spans="1:8">
      <c r="A687" s="5">
        <v>343</v>
      </c>
      <c r="B687" s="6" t="str">
        <f>"黎凯云"</f>
        <v>黎凯云</v>
      </c>
      <c r="C687" s="6" t="str">
        <f t="shared" si="30"/>
        <v>女</v>
      </c>
      <c r="D687" s="6" t="str">
        <f>"202115011001"</f>
        <v>202115011001</v>
      </c>
      <c r="E687" s="10" t="s">
        <v>20</v>
      </c>
      <c r="F687" s="6" t="s">
        <v>9</v>
      </c>
      <c r="G687" s="8">
        <v>60.65</v>
      </c>
      <c r="H687" s="6"/>
    </row>
    <row r="688" spans="1:8">
      <c r="A688" s="5">
        <v>602</v>
      </c>
      <c r="B688" s="6" t="str">
        <f>"陈华花"</f>
        <v>陈华花</v>
      </c>
      <c r="C688" s="6" t="str">
        <f t="shared" si="30"/>
        <v>女</v>
      </c>
      <c r="D688" s="6" t="str">
        <f>"202115011002"</f>
        <v>202115011002</v>
      </c>
      <c r="E688" s="10" t="s">
        <v>20</v>
      </c>
      <c r="F688" s="6" t="s">
        <v>9</v>
      </c>
      <c r="G688" s="8">
        <v>53</v>
      </c>
      <c r="H688" s="6"/>
    </row>
    <row r="689" spans="1:8">
      <c r="A689" s="5">
        <v>506</v>
      </c>
      <c r="B689" s="6" t="str">
        <f>"刘文仙"</f>
        <v>刘文仙</v>
      </c>
      <c r="C689" s="6" t="str">
        <f t="shared" si="30"/>
        <v>女</v>
      </c>
      <c r="D689" s="6" t="str">
        <f>"202115011003"</f>
        <v>202115011003</v>
      </c>
      <c r="E689" s="10" t="s">
        <v>20</v>
      </c>
      <c r="F689" s="6" t="s">
        <v>9</v>
      </c>
      <c r="G689" s="8">
        <v>57.45</v>
      </c>
      <c r="H689" s="6"/>
    </row>
    <row r="690" spans="1:8">
      <c r="A690" s="5">
        <v>560</v>
      </c>
      <c r="B690" s="6" t="str">
        <f>"毛芳"</f>
        <v>毛芳</v>
      </c>
      <c r="C690" s="6" t="str">
        <f t="shared" si="30"/>
        <v>女</v>
      </c>
      <c r="D690" s="6" t="str">
        <f>"202115011004"</f>
        <v>202115011004</v>
      </c>
      <c r="E690" s="10" t="s">
        <v>20</v>
      </c>
      <c r="F690" s="6" t="s">
        <v>9</v>
      </c>
      <c r="G690" s="8">
        <v>44.1</v>
      </c>
      <c r="H690" s="6"/>
    </row>
    <row r="691" spans="1:8">
      <c r="A691" s="5">
        <v>295</v>
      </c>
      <c r="B691" s="6" t="str">
        <f>"郭湘"</f>
        <v>郭湘</v>
      </c>
      <c r="C691" s="6" t="str">
        <f t="shared" si="30"/>
        <v>女</v>
      </c>
      <c r="D691" s="6" t="str">
        <f>"202115011005"</f>
        <v>202115011005</v>
      </c>
      <c r="E691" s="10" t="s">
        <v>20</v>
      </c>
      <c r="F691" s="6" t="s">
        <v>9</v>
      </c>
      <c r="G691" s="8">
        <v>59.05</v>
      </c>
      <c r="H691" s="6"/>
    </row>
    <row r="692" spans="1:8">
      <c r="A692" s="5">
        <v>673</v>
      </c>
      <c r="B692" s="6" t="str">
        <f>"周洁"</f>
        <v>周洁</v>
      </c>
      <c r="C692" s="6" t="str">
        <f t="shared" si="30"/>
        <v>女</v>
      </c>
      <c r="D692" s="6" t="str">
        <f>"202115011006"</f>
        <v>202115011006</v>
      </c>
      <c r="E692" s="10" t="s">
        <v>20</v>
      </c>
      <c r="F692" s="6" t="s">
        <v>9</v>
      </c>
      <c r="G692" s="8">
        <v>67.7</v>
      </c>
      <c r="H692" s="6"/>
    </row>
    <row r="693" spans="1:8">
      <c r="A693" s="5">
        <v>545</v>
      </c>
      <c r="B693" s="6" t="str">
        <f>"刘男"</f>
        <v>刘男</v>
      </c>
      <c r="C693" s="6" t="str">
        <f t="shared" si="30"/>
        <v>女</v>
      </c>
      <c r="D693" s="6" t="str">
        <f>"202115011007"</f>
        <v>202115011007</v>
      </c>
      <c r="E693" s="10" t="s">
        <v>20</v>
      </c>
      <c r="F693" s="6" t="s">
        <v>9</v>
      </c>
      <c r="G693" s="8">
        <v>48.25</v>
      </c>
      <c r="H693" s="6"/>
    </row>
    <row r="694" spans="1:8">
      <c r="A694" s="5">
        <v>304</v>
      </c>
      <c r="B694" s="6" t="str">
        <f>"戴铃辉"</f>
        <v>戴铃辉</v>
      </c>
      <c r="C694" s="6" t="str">
        <f t="shared" si="30"/>
        <v>女</v>
      </c>
      <c r="D694" s="6" t="str">
        <f>"202115011008"</f>
        <v>202115011008</v>
      </c>
      <c r="E694" s="10" t="s">
        <v>20</v>
      </c>
      <c r="F694" s="6" t="s">
        <v>9</v>
      </c>
      <c r="G694" s="8">
        <v>60</v>
      </c>
      <c r="H694" s="6"/>
    </row>
    <row r="695" spans="1:8">
      <c r="A695" s="5">
        <v>603</v>
      </c>
      <c r="B695" s="6" t="str">
        <f>"刘璐"</f>
        <v>刘璐</v>
      </c>
      <c r="C695" s="6" t="str">
        <f t="shared" si="30"/>
        <v>女</v>
      </c>
      <c r="D695" s="6" t="str">
        <f>"202115011009"</f>
        <v>202115011009</v>
      </c>
      <c r="E695" s="10" t="s">
        <v>20</v>
      </c>
      <c r="F695" s="6" t="s">
        <v>9</v>
      </c>
      <c r="G695" s="8">
        <v>57.4</v>
      </c>
      <c r="H695" s="6"/>
    </row>
    <row r="696" spans="1:8">
      <c r="A696" s="5">
        <v>463</v>
      </c>
      <c r="B696" s="6" t="str">
        <f>"肖洁"</f>
        <v>肖洁</v>
      </c>
      <c r="C696" s="6" t="str">
        <f t="shared" si="30"/>
        <v>女</v>
      </c>
      <c r="D696" s="6" t="str">
        <f>"202115011010"</f>
        <v>202115011010</v>
      </c>
      <c r="E696" s="10" t="s">
        <v>20</v>
      </c>
      <c r="F696" s="6" t="s">
        <v>9</v>
      </c>
      <c r="G696" s="8">
        <v>54.35</v>
      </c>
      <c r="H696" s="6"/>
    </row>
    <row r="697" spans="1:8">
      <c r="A697" s="5">
        <v>604</v>
      </c>
      <c r="B697" s="6" t="str">
        <f>"王鲜"</f>
        <v>王鲜</v>
      </c>
      <c r="C697" s="6" t="str">
        <f t="shared" si="30"/>
        <v>女</v>
      </c>
      <c r="D697" s="6" t="str">
        <f>"202115011011"</f>
        <v>202115011011</v>
      </c>
      <c r="E697" s="10" t="s">
        <v>20</v>
      </c>
      <c r="F697" s="6" t="s">
        <v>9</v>
      </c>
      <c r="G697" s="8">
        <v>64.650000000000006</v>
      </c>
      <c r="H697" s="6"/>
    </row>
    <row r="698" spans="1:8">
      <c r="A698" s="5">
        <v>267</v>
      </c>
      <c r="B698" s="6" t="str">
        <f>"肖烨萍"</f>
        <v>肖烨萍</v>
      </c>
      <c r="C698" s="6" t="str">
        <f t="shared" si="30"/>
        <v>女</v>
      </c>
      <c r="D698" s="6" t="str">
        <f>"202115011012"</f>
        <v>202115011012</v>
      </c>
      <c r="E698" s="10" t="s">
        <v>20</v>
      </c>
      <c r="F698" s="6" t="s">
        <v>9</v>
      </c>
      <c r="G698" s="8">
        <v>57.5</v>
      </c>
      <c r="H698" s="6"/>
    </row>
    <row r="699" spans="1:8">
      <c r="A699" s="5">
        <v>454</v>
      </c>
      <c r="B699" s="6" t="str">
        <f>"朱玲"</f>
        <v>朱玲</v>
      </c>
      <c r="C699" s="6" t="str">
        <f t="shared" si="30"/>
        <v>女</v>
      </c>
      <c r="D699" s="6" t="str">
        <f>"202115011013"</f>
        <v>202115011013</v>
      </c>
      <c r="E699" s="10" t="s">
        <v>20</v>
      </c>
      <c r="F699" s="6" t="s">
        <v>9</v>
      </c>
      <c r="G699" s="8">
        <v>55.65</v>
      </c>
      <c r="H699" s="6"/>
    </row>
    <row r="700" spans="1:8">
      <c r="A700" s="5">
        <v>302</v>
      </c>
      <c r="B700" s="6" t="str">
        <f>"孙海燕"</f>
        <v>孙海燕</v>
      </c>
      <c r="C700" s="6" t="str">
        <f t="shared" si="30"/>
        <v>女</v>
      </c>
      <c r="D700" s="6" t="str">
        <f>"202115011014"</f>
        <v>202115011014</v>
      </c>
      <c r="E700" s="10" t="s">
        <v>20</v>
      </c>
      <c r="F700" s="6" t="s">
        <v>9</v>
      </c>
      <c r="G700" s="8">
        <v>56.7</v>
      </c>
      <c r="H700" s="6"/>
    </row>
    <row r="701" spans="1:8">
      <c r="A701" s="5">
        <v>324</v>
      </c>
      <c r="B701" s="6" t="str">
        <f>"罗晶"</f>
        <v>罗晶</v>
      </c>
      <c r="C701" s="6" t="str">
        <f t="shared" si="30"/>
        <v>女</v>
      </c>
      <c r="D701" s="6" t="str">
        <f>"202115011015"</f>
        <v>202115011015</v>
      </c>
      <c r="E701" s="10" t="s">
        <v>20</v>
      </c>
      <c r="F701" s="6" t="s">
        <v>9</v>
      </c>
      <c r="G701" s="8">
        <v>58.25</v>
      </c>
      <c r="H701" s="6"/>
    </row>
    <row r="702" spans="1:8">
      <c r="A702" s="5">
        <v>409</v>
      </c>
      <c r="B702" s="6" t="str">
        <f>"向源检"</f>
        <v>向源检</v>
      </c>
      <c r="C702" s="6" t="str">
        <f t="shared" si="30"/>
        <v>女</v>
      </c>
      <c r="D702" s="6" t="str">
        <f>"202115011016"</f>
        <v>202115011016</v>
      </c>
      <c r="E702" s="10" t="s">
        <v>20</v>
      </c>
      <c r="F702" s="6" t="s">
        <v>9</v>
      </c>
      <c r="G702" s="8">
        <v>45.15</v>
      </c>
      <c r="H702" s="6"/>
    </row>
    <row r="703" spans="1:8">
      <c r="A703" s="5">
        <v>283</v>
      </c>
      <c r="B703" s="6" t="str">
        <f>"唐兰英"</f>
        <v>唐兰英</v>
      </c>
      <c r="C703" s="6" t="str">
        <f t="shared" ref="C703:C719" si="31">"女"</f>
        <v>女</v>
      </c>
      <c r="D703" s="6" t="str">
        <f>"202115011017"</f>
        <v>202115011017</v>
      </c>
      <c r="E703" s="10" t="s">
        <v>20</v>
      </c>
      <c r="F703" s="6" t="s">
        <v>9</v>
      </c>
      <c r="G703" s="8">
        <v>60.1</v>
      </c>
      <c r="H703" s="6"/>
    </row>
    <row r="704" spans="1:8">
      <c r="A704" s="5">
        <v>562</v>
      </c>
      <c r="B704" s="6" t="str">
        <f>"曾玲"</f>
        <v>曾玲</v>
      </c>
      <c r="C704" s="6" t="str">
        <f t="shared" si="31"/>
        <v>女</v>
      </c>
      <c r="D704" s="6" t="str">
        <f>"202115011018"</f>
        <v>202115011018</v>
      </c>
      <c r="E704" s="10" t="s">
        <v>20</v>
      </c>
      <c r="F704" s="6" t="s">
        <v>9</v>
      </c>
      <c r="G704" s="8">
        <v>64.05</v>
      </c>
      <c r="H704" s="6"/>
    </row>
    <row r="705" spans="1:8">
      <c r="A705" s="5">
        <v>674</v>
      </c>
      <c r="B705" s="6" t="str">
        <f>"彭梓菁"</f>
        <v>彭梓菁</v>
      </c>
      <c r="C705" s="6" t="str">
        <f t="shared" si="31"/>
        <v>女</v>
      </c>
      <c r="D705" s="6" t="str">
        <f>"202115011019"</f>
        <v>202115011019</v>
      </c>
      <c r="E705" s="10" t="s">
        <v>20</v>
      </c>
      <c r="F705" s="6" t="s">
        <v>9</v>
      </c>
      <c r="G705" s="8">
        <v>56.05</v>
      </c>
      <c r="H705" s="6"/>
    </row>
    <row r="706" spans="1:8">
      <c r="A706" s="5">
        <v>384</v>
      </c>
      <c r="B706" s="6" t="str">
        <f>"罗园"</f>
        <v>罗园</v>
      </c>
      <c r="C706" s="6" t="str">
        <f t="shared" si="31"/>
        <v>女</v>
      </c>
      <c r="D706" s="6" t="str">
        <f>"202115011020"</f>
        <v>202115011020</v>
      </c>
      <c r="E706" s="10" t="s">
        <v>20</v>
      </c>
      <c r="F706" s="6" t="s">
        <v>9</v>
      </c>
      <c r="G706" s="8">
        <v>56.75</v>
      </c>
      <c r="H706" s="6"/>
    </row>
    <row r="707" spans="1:8">
      <c r="A707" s="5">
        <v>582</v>
      </c>
      <c r="B707" s="6" t="str">
        <f>"朱超宇"</f>
        <v>朱超宇</v>
      </c>
      <c r="C707" s="6" t="str">
        <f t="shared" si="31"/>
        <v>女</v>
      </c>
      <c r="D707" s="6" t="str">
        <f>"202115011021"</f>
        <v>202115011021</v>
      </c>
      <c r="E707" s="10" t="s">
        <v>20</v>
      </c>
      <c r="F707" s="6" t="s">
        <v>9</v>
      </c>
      <c r="G707" s="8">
        <v>43.55</v>
      </c>
      <c r="H707" s="6"/>
    </row>
    <row r="708" spans="1:8">
      <c r="A708" s="5">
        <v>224</v>
      </c>
      <c r="B708" s="6" t="str">
        <f>"黄敏"</f>
        <v>黄敏</v>
      </c>
      <c r="C708" s="6" t="str">
        <f t="shared" si="31"/>
        <v>女</v>
      </c>
      <c r="D708" s="6" t="str">
        <f>"202115011022"</f>
        <v>202115011022</v>
      </c>
      <c r="E708" s="10" t="s">
        <v>20</v>
      </c>
      <c r="F708" s="6" t="s">
        <v>9</v>
      </c>
      <c r="G708" s="8">
        <v>0</v>
      </c>
      <c r="H708" s="9">
        <v>1</v>
      </c>
    </row>
    <row r="709" spans="1:8">
      <c r="A709" s="5">
        <v>334</v>
      </c>
      <c r="B709" s="6" t="str">
        <f>"陈利娜"</f>
        <v>陈利娜</v>
      </c>
      <c r="C709" s="6" t="str">
        <f t="shared" si="31"/>
        <v>女</v>
      </c>
      <c r="D709" s="6" t="str">
        <f>"202115011023"</f>
        <v>202115011023</v>
      </c>
      <c r="E709" s="10" t="s">
        <v>20</v>
      </c>
      <c r="F709" s="6" t="s">
        <v>9</v>
      </c>
      <c r="G709" s="8">
        <v>0</v>
      </c>
      <c r="H709" s="9">
        <v>1</v>
      </c>
    </row>
    <row r="710" spans="1:8">
      <c r="A710" s="5">
        <v>293</v>
      </c>
      <c r="B710" s="6" t="str">
        <f>"张茜"</f>
        <v>张茜</v>
      </c>
      <c r="C710" s="6" t="str">
        <f t="shared" si="31"/>
        <v>女</v>
      </c>
      <c r="D710" s="6" t="str">
        <f>"202115011024"</f>
        <v>202115011024</v>
      </c>
      <c r="E710" s="10" t="s">
        <v>20</v>
      </c>
      <c r="F710" s="6" t="s">
        <v>9</v>
      </c>
      <c r="G710" s="8">
        <v>56.65</v>
      </c>
      <c r="H710" s="6"/>
    </row>
    <row r="711" spans="1:8">
      <c r="A711" s="5">
        <v>249</v>
      </c>
      <c r="B711" s="6" t="str">
        <f>"陈明洋"</f>
        <v>陈明洋</v>
      </c>
      <c r="C711" s="6" t="str">
        <f t="shared" si="31"/>
        <v>女</v>
      </c>
      <c r="D711" s="6" t="str">
        <f>"202115011025"</f>
        <v>202115011025</v>
      </c>
      <c r="E711" s="10" t="s">
        <v>20</v>
      </c>
      <c r="F711" s="6" t="s">
        <v>9</v>
      </c>
      <c r="G711" s="8">
        <v>0</v>
      </c>
      <c r="H711" s="9">
        <v>1</v>
      </c>
    </row>
    <row r="712" spans="1:8">
      <c r="A712" s="5">
        <v>495</v>
      </c>
      <c r="B712" s="6" t="str">
        <f>"杨雨晗"</f>
        <v>杨雨晗</v>
      </c>
      <c r="C712" s="6" t="str">
        <f t="shared" si="31"/>
        <v>女</v>
      </c>
      <c r="D712" s="6" t="str">
        <f>"202115011026"</f>
        <v>202115011026</v>
      </c>
      <c r="E712" s="10" t="s">
        <v>20</v>
      </c>
      <c r="F712" s="6" t="s">
        <v>9</v>
      </c>
      <c r="G712" s="8">
        <v>39.25</v>
      </c>
      <c r="H712" s="6"/>
    </row>
    <row r="713" spans="1:8">
      <c r="A713" s="5">
        <v>577</v>
      </c>
      <c r="B713" s="6" t="str">
        <f>"刘娟"</f>
        <v>刘娟</v>
      </c>
      <c r="C713" s="6" t="str">
        <f t="shared" si="31"/>
        <v>女</v>
      </c>
      <c r="D713" s="6" t="str">
        <f>"202115011027"</f>
        <v>202115011027</v>
      </c>
      <c r="E713" s="10" t="s">
        <v>20</v>
      </c>
      <c r="F713" s="6" t="s">
        <v>9</v>
      </c>
      <c r="G713" s="8">
        <v>64.650000000000006</v>
      </c>
      <c r="H713" s="6"/>
    </row>
    <row r="714" spans="1:8">
      <c r="A714" s="5">
        <v>635</v>
      </c>
      <c r="B714" s="6" t="str">
        <f>"谢玉林"</f>
        <v>谢玉林</v>
      </c>
      <c r="C714" s="6" t="str">
        <f t="shared" si="31"/>
        <v>女</v>
      </c>
      <c r="D714" s="6" t="str">
        <f>"202115011028"</f>
        <v>202115011028</v>
      </c>
      <c r="E714" s="10" t="s">
        <v>20</v>
      </c>
      <c r="F714" s="6" t="s">
        <v>9</v>
      </c>
      <c r="G714" s="8">
        <v>58.6</v>
      </c>
      <c r="H714" s="6"/>
    </row>
    <row r="715" spans="1:8">
      <c r="A715" s="5">
        <v>266</v>
      </c>
      <c r="B715" s="6" t="str">
        <f>"陈文博"</f>
        <v>陈文博</v>
      </c>
      <c r="C715" s="6" t="str">
        <f t="shared" si="31"/>
        <v>女</v>
      </c>
      <c r="D715" s="6" t="str">
        <f>"202115011029"</f>
        <v>202115011029</v>
      </c>
      <c r="E715" s="10" t="s">
        <v>20</v>
      </c>
      <c r="F715" s="6" t="s">
        <v>9</v>
      </c>
      <c r="G715" s="8">
        <v>63.05</v>
      </c>
      <c r="H715" s="6"/>
    </row>
    <row r="716" spans="1:8">
      <c r="A716" s="5">
        <v>233</v>
      </c>
      <c r="B716" s="6" t="str">
        <f>"石凤娟"</f>
        <v>石凤娟</v>
      </c>
      <c r="C716" s="6" t="str">
        <f t="shared" si="31"/>
        <v>女</v>
      </c>
      <c r="D716" s="6" t="str">
        <f>"202115011030"</f>
        <v>202115011030</v>
      </c>
      <c r="E716" s="10" t="s">
        <v>20</v>
      </c>
      <c r="F716" s="6" t="s">
        <v>9</v>
      </c>
      <c r="G716" s="8">
        <v>59.7</v>
      </c>
      <c r="H716" s="6"/>
    </row>
    <row r="717" spans="1:8">
      <c r="A717" s="5">
        <v>258</v>
      </c>
      <c r="B717" s="6" t="str">
        <f>"张潇潇"</f>
        <v>张潇潇</v>
      </c>
      <c r="C717" s="6" t="str">
        <f t="shared" si="31"/>
        <v>女</v>
      </c>
      <c r="D717" s="6" t="str">
        <f>"202115011101"</f>
        <v>202115011101</v>
      </c>
      <c r="E717" s="10" t="s">
        <v>20</v>
      </c>
      <c r="F717" s="6" t="s">
        <v>9</v>
      </c>
      <c r="G717" s="8">
        <v>0</v>
      </c>
      <c r="H717" s="9">
        <v>1</v>
      </c>
    </row>
    <row r="718" spans="1:8">
      <c r="A718" s="5">
        <v>498</v>
      </c>
      <c r="B718" s="6" t="str">
        <f>"岳莺莺"</f>
        <v>岳莺莺</v>
      </c>
      <c r="C718" s="6" t="str">
        <f t="shared" si="31"/>
        <v>女</v>
      </c>
      <c r="D718" s="6" t="str">
        <f>"202115011102"</f>
        <v>202115011102</v>
      </c>
      <c r="E718" s="10" t="s">
        <v>20</v>
      </c>
      <c r="F718" s="6" t="s">
        <v>9</v>
      </c>
      <c r="G718" s="8">
        <v>68.25</v>
      </c>
      <c r="H718" s="6"/>
    </row>
    <row r="719" spans="1:8">
      <c r="A719" s="5">
        <v>263</v>
      </c>
      <c r="B719" s="6" t="str">
        <f>"岳雅倩"</f>
        <v>岳雅倩</v>
      </c>
      <c r="C719" s="6" t="str">
        <f t="shared" si="31"/>
        <v>女</v>
      </c>
      <c r="D719" s="6" t="str">
        <f>"202115011103"</f>
        <v>202115011103</v>
      </c>
      <c r="E719" s="10" t="s">
        <v>20</v>
      </c>
      <c r="F719" s="6" t="s">
        <v>9</v>
      </c>
      <c r="G719" s="8">
        <v>57.15</v>
      </c>
      <c r="H719" s="6"/>
    </row>
    <row r="720" spans="1:8">
      <c r="A720" s="5">
        <v>621</v>
      </c>
      <c r="B720" s="6" t="str">
        <f>"孙春明"</f>
        <v>孙春明</v>
      </c>
      <c r="C720" s="6" t="str">
        <f>"男"</f>
        <v>男</v>
      </c>
      <c r="D720" s="6" t="str">
        <f>"202115011104"</f>
        <v>202115011104</v>
      </c>
      <c r="E720" s="10" t="s">
        <v>20</v>
      </c>
      <c r="F720" s="6" t="s">
        <v>9</v>
      </c>
      <c r="G720" s="8">
        <v>60.5</v>
      </c>
      <c r="H720" s="6"/>
    </row>
    <row r="721" spans="1:8">
      <c r="A721" s="5">
        <v>400</v>
      </c>
      <c r="B721" s="6" t="str">
        <f>"艾娟凤"</f>
        <v>艾娟凤</v>
      </c>
      <c r="C721" s="6" t="str">
        <f t="shared" ref="C721:C738" si="32">"女"</f>
        <v>女</v>
      </c>
      <c r="D721" s="6" t="str">
        <f>"202115011105"</f>
        <v>202115011105</v>
      </c>
      <c r="E721" s="10" t="s">
        <v>20</v>
      </c>
      <c r="F721" s="6" t="s">
        <v>9</v>
      </c>
      <c r="G721" s="8">
        <v>41.15</v>
      </c>
      <c r="H721" s="6"/>
    </row>
    <row r="722" spans="1:8">
      <c r="A722" s="5">
        <v>254</v>
      </c>
      <c r="B722" s="6" t="str">
        <f>"莫巧"</f>
        <v>莫巧</v>
      </c>
      <c r="C722" s="6" t="str">
        <f t="shared" si="32"/>
        <v>女</v>
      </c>
      <c r="D722" s="6" t="str">
        <f>"202115011106"</f>
        <v>202115011106</v>
      </c>
      <c r="E722" s="10" t="s">
        <v>20</v>
      </c>
      <c r="F722" s="6" t="s">
        <v>9</v>
      </c>
      <c r="G722" s="8">
        <v>49.45</v>
      </c>
      <c r="H722" s="6"/>
    </row>
    <row r="723" spans="1:8">
      <c r="A723" s="5">
        <v>287</v>
      </c>
      <c r="B723" s="6" t="str">
        <f>"成翠园"</f>
        <v>成翠园</v>
      </c>
      <c r="C723" s="6" t="str">
        <f t="shared" si="32"/>
        <v>女</v>
      </c>
      <c r="D723" s="6" t="str">
        <f>"202115011107"</f>
        <v>202115011107</v>
      </c>
      <c r="E723" s="10" t="s">
        <v>20</v>
      </c>
      <c r="F723" s="6" t="s">
        <v>9</v>
      </c>
      <c r="G723" s="8">
        <v>0</v>
      </c>
      <c r="H723" s="9">
        <v>1</v>
      </c>
    </row>
    <row r="724" spans="1:8">
      <c r="A724" s="5">
        <v>316</v>
      </c>
      <c r="B724" s="6" t="str">
        <f>"兰巧琴"</f>
        <v>兰巧琴</v>
      </c>
      <c r="C724" s="6" t="str">
        <f t="shared" si="32"/>
        <v>女</v>
      </c>
      <c r="D724" s="6" t="str">
        <f>"202115011108"</f>
        <v>202115011108</v>
      </c>
      <c r="E724" s="10" t="s">
        <v>20</v>
      </c>
      <c r="F724" s="6" t="s">
        <v>9</v>
      </c>
      <c r="G724" s="8">
        <v>32</v>
      </c>
      <c r="H724" s="6"/>
    </row>
    <row r="725" spans="1:8">
      <c r="A725" s="5">
        <v>332</v>
      </c>
      <c r="B725" s="6" t="str">
        <f>"王红梅"</f>
        <v>王红梅</v>
      </c>
      <c r="C725" s="6" t="str">
        <f t="shared" si="32"/>
        <v>女</v>
      </c>
      <c r="D725" s="6" t="str">
        <f>"202115011109"</f>
        <v>202115011109</v>
      </c>
      <c r="E725" s="10" t="s">
        <v>20</v>
      </c>
      <c r="F725" s="6" t="s">
        <v>9</v>
      </c>
      <c r="G725" s="8">
        <v>61.5</v>
      </c>
      <c r="H725" s="6"/>
    </row>
    <row r="726" spans="1:8">
      <c r="A726" s="5">
        <v>435</v>
      </c>
      <c r="B726" s="6" t="str">
        <f>"林渝熹"</f>
        <v>林渝熹</v>
      </c>
      <c r="C726" s="6" t="str">
        <f t="shared" si="32"/>
        <v>女</v>
      </c>
      <c r="D726" s="6" t="str">
        <f>"202115011110"</f>
        <v>202115011110</v>
      </c>
      <c r="E726" s="10" t="s">
        <v>20</v>
      </c>
      <c r="F726" s="6" t="s">
        <v>9</v>
      </c>
      <c r="G726" s="8">
        <v>64.25</v>
      </c>
      <c r="H726" s="6"/>
    </row>
    <row r="727" spans="1:8">
      <c r="A727" s="5">
        <v>630</v>
      </c>
      <c r="B727" s="6" t="str">
        <f>"江莹"</f>
        <v>江莹</v>
      </c>
      <c r="C727" s="6" t="str">
        <f t="shared" si="32"/>
        <v>女</v>
      </c>
      <c r="D727" s="6" t="str">
        <f>"202115011111"</f>
        <v>202115011111</v>
      </c>
      <c r="E727" s="10" t="s">
        <v>20</v>
      </c>
      <c r="F727" s="6" t="s">
        <v>9</v>
      </c>
      <c r="G727" s="8">
        <v>67.5</v>
      </c>
      <c r="H727" s="6"/>
    </row>
    <row r="728" spans="1:8">
      <c r="A728" s="5">
        <v>649</v>
      </c>
      <c r="B728" s="6" t="str">
        <f>"刘丽"</f>
        <v>刘丽</v>
      </c>
      <c r="C728" s="6" t="str">
        <f t="shared" si="32"/>
        <v>女</v>
      </c>
      <c r="D728" s="6" t="str">
        <f>"202115011112"</f>
        <v>202115011112</v>
      </c>
      <c r="E728" s="10" t="s">
        <v>20</v>
      </c>
      <c r="F728" s="6" t="s">
        <v>9</v>
      </c>
      <c r="G728" s="8">
        <v>59.7</v>
      </c>
      <c r="H728" s="6"/>
    </row>
    <row r="729" spans="1:8">
      <c r="A729" s="5">
        <v>646</v>
      </c>
      <c r="B729" s="6" t="str">
        <f>"廖玉珍"</f>
        <v>廖玉珍</v>
      </c>
      <c r="C729" s="6" t="str">
        <f t="shared" si="32"/>
        <v>女</v>
      </c>
      <c r="D729" s="6" t="str">
        <f>"202115011113"</f>
        <v>202115011113</v>
      </c>
      <c r="E729" s="10" t="s">
        <v>20</v>
      </c>
      <c r="F729" s="6" t="s">
        <v>9</v>
      </c>
      <c r="G729" s="8">
        <v>55.75</v>
      </c>
      <c r="H729" s="6"/>
    </row>
    <row r="730" spans="1:8">
      <c r="A730" s="5">
        <v>340</v>
      </c>
      <c r="B730" s="6" t="str">
        <f>"蒋鋆峄"</f>
        <v>蒋鋆峄</v>
      </c>
      <c r="C730" s="6" t="str">
        <f t="shared" si="32"/>
        <v>女</v>
      </c>
      <c r="D730" s="6" t="str">
        <f>"202115011114"</f>
        <v>202115011114</v>
      </c>
      <c r="E730" s="10" t="s">
        <v>20</v>
      </c>
      <c r="F730" s="6" t="s">
        <v>9</v>
      </c>
      <c r="G730" s="8">
        <v>64.7</v>
      </c>
      <c r="H730" s="6"/>
    </row>
    <row r="731" spans="1:8">
      <c r="A731" s="5">
        <v>299</v>
      </c>
      <c r="B731" s="6" t="str">
        <f>"刘欢兰"</f>
        <v>刘欢兰</v>
      </c>
      <c r="C731" s="6" t="str">
        <f t="shared" si="32"/>
        <v>女</v>
      </c>
      <c r="D731" s="6" t="str">
        <f>"202115011115"</f>
        <v>202115011115</v>
      </c>
      <c r="E731" s="10" t="s">
        <v>20</v>
      </c>
      <c r="F731" s="6" t="s">
        <v>9</v>
      </c>
      <c r="G731" s="8">
        <v>63.1</v>
      </c>
      <c r="H731" s="6"/>
    </row>
    <row r="732" spans="1:8">
      <c r="A732" s="5">
        <v>546</v>
      </c>
      <c r="B732" s="6" t="str">
        <f>"何杨冰"</f>
        <v>何杨冰</v>
      </c>
      <c r="C732" s="6" t="str">
        <f t="shared" si="32"/>
        <v>女</v>
      </c>
      <c r="D732" s="6" t="str">
        <f>"202115011116"</f>
        <v>202115011116</v>
      </c>
      <c r="E732" s="10" t="s">
        <v>20</v>
      </c>
      <c r="F732" s="6" t="s">
        <v>9</v>
      </c>
      <c r="G732" s="8">
        <v>49.4</v>
      </c>
      <c r="H732" s="6"/>
    </row>
    <row r="733" spans="1:8">
      <c r="A733" s="5">
        <v>556</v>
      </c>
      <c r="B733" s="6" t="str">
        <f>"肖瑶"</f>
        <v>肖瑶</v>
      </c>
      <c r="C733" s="6" t="str">
        <f t="shared" si="32"/>
        <v>女</v>
      </c>
      <c r="D733" s="6" t="str">
        <f>"202115011117"</f>
        <v>202115011117</v>
      </c>
      <c r="E733" s="10" t="s">
        <v>20</v>
      </c>
      <c r="F733" s="6" t="s">
        <v>9</v>
      </c>
      <c r="G733" s="8">
        <v>70.3</v>
      </c>
      <c r="H733" s="6"/>
    </row>
    <row r="734" spans="1:8">
      <c r="A734" s="5">
        <v>476</v>
      </c>
      <c r="B734" s="6" t="str">
        <f>"范洁"</f>
        <v>范洁</v>
      </c>
      <c r="C734" s="6" t="str">
        <f t="shared" si="32"/>
        <v>女</v>
      </c>
      <c r="D734" s="6" t="str">
        <f>"202115011118"</f>
        <v>202115011118</v>
      </c>
      <c r="E734" s="10" t="s">
        <v>20</v>
      </c>
      <c r="F734" s="6" t="s">
        <v>9</v>
      </c>
      <c r="G734" s="8">
        <v>49.55</v>
      </c>
      <c r="H734" s="6"/>
    </row>
    <row r="735" spans="1:8">
      <c r="A735" s="5">
        <v>345</v>
      </c>
      <c r="B735" s="6" t="str">
        <f>"王倩倩"</f>
        <v>王倩倩</v>
      </c>
      <c r="C735" s="6" t="str">
        <f t="shared" si="32"/>
        <v>女</v>
      </c>
      <c r="D735" s="6" t="str">
        <f>"202115011119"</f>
        <v>202115011119</v>
      </c>
      <c r="E735" s="10" t="s">
        <v>20</v>
      </c>
      <c r="F735" s="6" t="s">
        <v>9</v>
      </c>
      <c r="G735" s="8">
        <v>60.15</v>
      </c>
      <c r="H735" s="6"/>
    </row>
    <row r="736" spans="1:8">
      <c r="A736" s="5">
        <v>301</v>
      </c>
      <c r="B736" s="6" t="str">
        <f>"林媚娟"</f>
        <v>林媚娟</v>
      </c>
      <c r="C736" s="6" t="str">
        <f t="shared" si="32"/>
        <v>女</v>
      </c>
      <c r="D736" s="6" t="str">
        <f>"202115011120"</f>
        <v>202115011120</v>
      </c>
      <c r="E736" s="10" t="s">
        <v>20</v>
      </c>
      <c r="F736" s="6" t="s">
        <v>9</v>
      </c>
      <c r="G736" s="8">
        <v>57.85</v>
      </c>
      <c r="H736" s="6"/>
    </row>
    <row r="737" spans="1:8">
      <c r="A737" s="5">
        <v>320</v>
      </c>
      <c r="B737" s="6" t="str">
        <f>"黄文静"</f>
        <v>黄文静</v>
      </c>
      <c r="C737" s="6" t="str">
        <f t="shared" si="32"/>
        <v>女</v>
      </c>
      <c r="D737" s="6" t="str">
        <f>"202115011121"</f>
        <v>202115011121</v>
      </c>
      <c r="E737" s="10" t="s">
        <v>20</v>
      </c>
      <c r="F737" s="6" t="s">
        <v>9</v>
      </c>
      <c r="G737" s="8">
        <v>59.8</v>
      </c>
      <c r="H737" s="6"/>
    </row>
    <row r="738" spans="1:8">
      <c r="A738" s="5">
        <v>372</v>
      </c>
      <c r="B738" s="6" t="str">
        <f>"颜亚运"</f>
        <v>颜亚运</v>
      </c>
      <c r="C738" s="6" t="str">
        <f t="shared" si="32"/>
        <v>女</v>
      </c>
      <c r="D738" s="6" t="str">
        <f>"202115011122"</f>
        <v>202115011122</v>
      </c>
      <c r="E738" s="10" t="s">
        <v>20</v>
      </c>
      <c r="F738" s="6" t="s">
        <v>9</v>
      </c>
      <c r="G738" s="8">
        <v>57.5</v>
      </c>
      <c r="H738" s="6"/>
    </row>
    <row r="739" spans="1:8">
      <c r="A739" s="5">
        <v>313</v>
      </c>
      <c r="B739" s="6" t="str">
        <f>"刘广"</f>
        <v>刘广</v>
      </c>
      <c r="C739" s="6" t="str">
        <f>"男"</f>
        <v>男</v>
      </c>
      <c r="D739" s="6" t="str">
        <f>"202115011123"</f>
        <v>202115011123</v>
      </c>
      <c r="E739" s="10" t="s">
        <v>20</v>
      </c>
      <c r="F739" s="6" t="s">
        <v>9</v>
      </c>
      <c r="G739" s="8">
        <v>57.35</v>
      </c>
      <c r="H739" s="6"/>
    </row>
    <row r="740" spans="1:8">
      <c r="A740" s="5">
        <v>355</v>
      </c>
      <c r="B740" s="6" t="str">
        <f>"刘秀秀"</f>
        <v>刘秀秀</v>
      </c>
      <c r="C740" s="6" t="str">
        <f>"女"</f>
        <v>女</v>
      </c>
      <c r="D740" s="6" t="str">
        <f>"202115011124"</f>
        <v>202115011124</v>
      </c>
      <c r="E740" s="10" t="s">
        <v>20</v>
      </c>
      <c r="F740" s="6" t="s">
        <v>9</v>
      </c>
      <c r="G740" s="8">
        <v>49.4</v>
      </c>
      <c r="H740" s="6"/>
    </row>
    <row r="741" spans="1:8">
      <c r="A741" s="5">
        <v>575</v>
      </c>
      <c r="B741" s="6" t="str">
        <f>"刘翠婷"</f>
        <v>刘翠婷</v>
      </c>
      <c r="C741" s="6" t="str">
        <f>"女"</f>
        <v>女</v>
      </c>
      <c r="D741" s="6" t="str">
        <f>"202115011125"</f>
        <v>202115011125</v>
      </c>
      <c r="E741" s="10" t="s">
        <v>20</v>
      </c>
      <c r="F741" s="6" t="s">
        <v>9</v>
      </c>
      <c r="G741" s="8">
        <v>55.1</v>
      </c>
      <c r="H741" s="6"/>
    </row>
    <row r="742" spans="1:8">
      <c r="A742" s="5">
        <v>468</v>
      </c>
      <c r="B742" s="6" t="str">
        <f>"肖芳"</f>
        <v>肖芳</v>
      </c>
      <c r="C742" s="6" t="str">
        <f>"女"</f>
        <v>女</v>
      </c>
      <c r="D742" s="6" t="str">
        <f>"202115011126"</f>
        <v>202115011126</v>
      </c>
      <c r="E742" s="10" t="s">
        <v>20</v>
      </c>
      <c r="F742" s="6" t="s">
        <v>9</v>
      </c>
      <c r="G742" s="8">
        <v>39.950000000000003</v>
      </c>
      <c r="H742" s="6"/>
    </row>
    <row r="743" spans="1:8">
      <c r="A743" s="5">
        <v>563</v>
      </c>
      <c r="B743" s="6" t="str">
        <f>"邹佳"</f>
        <v>邹佳</v>
      </c>
      <c r="C743" s="6" t="str">
        <f>"女"</f>
        <v>女</v>
      </c>
      <c r="D743" s="6" t="str">
        <f>"202115011127"</f>
        <v>202115011127</v>
      </c>
      <c r="E743" s="10" t="s">
        <v>20</v>
      </c>
      <c r="F743" s="6" t="s">
        <v>9</v>
      </c>
      <c r="G743" s="8">
        <v>37.75</v>
      </c>
      <c r="H743" s="6"/>
    </row>
    <row r="744" spans="1:8">
      <c r="A744" s="5">
        <v>516</v>
      </c>
      <c r="B744" s="6" t="str">
        <f>"邹青秀"</f>
        <v>邹青秀</v>
      </c>
      <c r="C744" s="6" t="str">
        <f>"女"</f>
        <v>女</v>
      </c>
      <c r="D744" s="6" t="str">
        <f>"202115011128"</f>
        <v>202115011128</v>
      </c>
      <c r="E744" s="10" t="s">
        <v>20</v>
      </c>
      <c r="F744" s="6" t="s">
        <v>9</v>
      </c>
      <c r="G744" s="8">
        <v>55.1</v>
      </c>
      <c r="H744" s="6"/>
    </row>
    <row r="745" spans="1:8">
      <c r="A745" s="5">
        <v>455</v>
      </c>
      <c r="B745" s="6" t="str">
        <f>"丁平"</f>
        <v>丁平</v>
      </c>
      <c r="C745" s="6" t="str">
        <f>"男"</f>
        <v>男</v>
      </c>
      <c r="D745" s="6" t="str">
        <f>"202115011129"</f>
        <v>202115011129</v>
      </c>
      <c r="E745" s="10" t="s">
        <v>20</v>
      </c>
      <c r="F745" s="6" t="s">
        <v>9</v>
      </c>
      <c r="G745" s="8">
        <v>53.3</v>
      </c>
      <c r="H745" s="6"/>
    </row>
    <row r="746" spans="1:8">
      <c r="A746" s="5">
        <v>486</v>
      </c>
      <c r="B746" s="6" t="str">
        <f>"王婧婧"</f>
        <v>王婧婧</v>
      </c>
      <c r="C746" s="6" t="str">
        <f t="shared" ref="C746:C792" si="33">"女"</f>
        <v>女</v>
      </c>
      <c r="D746" s="6" t="str">
        <f>"202115011130"</f>
        <v>202115011130</v>
      </c>
      <c r="E746" s="10" t="s">
        <v>20</v>
      </c>
      <c r="F746" s="6" t="s">
        <v>9</v>
      </c>
      <c r="G746" s="8">
        <v>0</v>
      </c>
      <c r="H746" s="9">
        <v>1</v>
      </c>
    </row>
    <row r="747" spans="1:8">
      <c r="A747" s="5">
        <v>478</v>
      </c>
      <c r="B747" s="6" t="str">
        <f>"刘靓"</f>
        <v>刘靓</v>
      </c>
      <c r="C747" s="6" t="str">
        <f t="shared" si="33"/>
        <v>女</v>
      </c>
      <c r="D747" s="6" t="str">
        <f>"202115011201"</f>
        <v>202115011201</v>
      </c>
      <c r="E747" s="10" t="s">
        <v>20</v>
      </c>
      <c r="F747" s="6" t="s">
        <v>9</v>
      </c>
      <c r="G747" s="8">
        <v>0</v>
      </c>
      <c r="H747" s="9">
        <v>1</v>
      </c>
    </row>
    <row r="748" spans="1:8">
      <c r="A748" s="5">
        <v>235</v>
      </c>
      <c r="B748" s="6" t="str">
        <f>"刘红霞"</f>
        <v>刘红霞</v>
      </c>
      <c r="C748" s="6" t="str">
        <f t="shared" si="33"/>
        <v>女</v>
      </c>
      <c r="D748" s="6" t="str">
        <f>"202115011202"</f>
        <v>202115011202</v>
      </c>
      <c r="E748" s="10" t="s">
        <v>20</v>
      </c>
      <c r="F748" s="6" t="s">
        <v>9</v>
      </c>
      <c r="G748" s="8">
        <v>61.8</v>
      </c>
      <c r="H748" s="6"/>
    </row>
    <row r="749" spans="1:8">
      <c r="A749" s="5">
        <v>566</v>
      </c>
      <c r="B749" s="6" t="str">
        <f>"陈帅文"</f>
        <v>陈帅文</v>
      </c>
      <c r="C749" s="6" t="str">
        <f t="shared" si="33"/>
        <v>女</v>
      </c>
      <c r="D749" s="6" t="str">
        <f>"202115011203"</f>
        <v>202115011203</v>
      </c>
      <c r="E749" s="10" t="s">
        <v>20</v>
      </c>
      <c r="F749" s="6" t="s">
        <v>9</v>
      </c>
      <c r="G749" s="8">
        <v>49.3</v>
      </c>
      <c r="H749" s="6"/>
    </row>
    <row r="750" spans="1:8">
      <c r="A750" s="5">
        <v>418</v>
      </c>
      <c r="B750" s="6" t="str">
        <f>"伍苏"</f>
        <v>伍苏</v>
      </c>
      <c r="C750" s="6" t="str">
        <f t="shared" si="33"/>
        <v>女</v>
      </c>
      <c r="D750" s="6" t="str">
        <f>"202115011204"</f>
        <v>202115011204</v>
      </c>
      <c r="E750" s="10" t="s">
        <v>20</v>
      </c>
      <c r="F750" s="6" t="s">
        <v>9</v>
      </c>
      <c r="G750" s="8">
        <v>60.1</v>
      </c>
      <c r="H750" s="6"/>
    </row>
    <row r="751" spans="1:8">
      <c r="A751" s="5">
        <v>388</v>
      </c>
      <c r="B751" s="6" t="str">
        <f>"阮梦丽"</f>
        <v>阮梦丽</v>
      </c>
      <c r="C751" s="6" t="str">
        <f t="shared" si="33"/>
        <v>女</v>
      </c>
      <c r="D751" s="6" t="str">
        <f>"202115011205"</f>
        <v>202115011205</v>
      </c>
      <c r="E751" s="10" t="s">
        <v>20</v>
      </c>
      <c r="F751" s="6" t="s">
        <v>9</v>
      </c>
      <c r="G751" s="8">
        <v>58.3</v>
      </c>
      <c r="H751" s="6"/>
    </row>
    <row r="752" spans="1:8">
      <c r="A752" s="5">
        <v>567</v>
      </c>
      <c r="B752" s="6" t="str">
        <f>"刘曦蔓"</f>
        <v>刘曦蔓</v>
      </c>
      <c r="C752" s="6" t="str">
        <f t="shared" si="33"/>
        <v>女</v>
      </c>
      <c r="D752" s="6" t="str">
        <f>"202115011206"</f>
        <v>202115011206</v>
      </c>
      <c r="E752" s="10" t="s">
        <v>20</v>
      </c>
      <c r="F752" s="6" t="s">
        <v>9</v>
      </c>
      <c r="G752" s="8">
        <v>54.9</v>
      </c>
      <c r="H752" s="6"/>
    </row>
    <row r="753" spans="1:8">
      <c r="A753" s="5">
        <v>369</v>
      </c>
      <c r="B753" s="6" t="str">
        <f>"何周情"</f>
        <v>何周情</v>
      </c>
      <c r="C753" s="6" t="str">
        <f t="shared" si="33"/>
        <v>女</v>
      </c>
      <c r="D753" s="6" t="str">
        <f>"202115011207"</f>
        <v>202115011207</v>
      </c>
      <c r="E753" s="10" t="s">
        <v>20</v>
      </c>
      <c r="F753" s="6" t="s">
        <v>9</v>
      </c>
      <c r="G753" s="8">
        <v>64.650000000000006</v>
      </c>
      <c r="H753" s="6"/>
    </row>
    <row r="754" spans="1:8">
      <c r="A754" s="5">
        <v>406</v>
      </c>
      <c r="B754" s="6" t="str">
        <f>"杨洁"</f>
        <v>杨洁</v>
      </c>
      <c r="C754" s="6" t="str">
        <f t="shared" si="33"/>
        <v>女</v>
      </c>
      <c r="D754" s="6" t="str">
        <f>"202115011208"</f>
        <v>202115011208</v>
      </c>
      <c r="E754" s="10" t="s">
        <v>20</v>
      </c>
      <c r="F754" s="6" t="s">
        <v>9</v>
      </c>
      <c r="G754" s="8">
        <v>51.9</v>
      </c>
      <c r="H754" s="6"/>
    </row>
    <row r="755" spans="1:8">
      <c r="A755" s="5">
        <v>457</v>
      </c>
      <c r="B755" s="6" t="str">
        <f>"罗倩"</f>
        <v>罗倩</v>
      </c>
      <c r="C755" s="6" t="str">
        <f t="shared" si="33"/>
        <v>女</v>
      </c>
      <c r="D755" s="6" t="str">
        <f>"202115011209"</f>
        <v>202115011209</v>
      </c>
      <c r="E755" s="10" t="s">
        <v>20</v>
      </c>
      <c r="F755" s="6" t="s">
        <v>9</v>
      </c>
      <c r="G755" s="8">
        <v>61.6</v>
      </c>
      <c r="H755" s="6"/>
    </row>
    <row r="756" spans="1:8">
      <c r="A756" s="5">
        <v>534</v>
      </c>
      <c r="B756" s="6" t="str">
        <f>"邹茜茜"</f>
        <v>邹茜茜</v>
      </c>
      <c r="C756" s="6" t="str">
        <f t="shared" si="33"/>
        <v>女</v>
      </c>
      <c r="D756" s="6" t="str">
        <f>"202115011210"</f>
        <v>202115011210</v>
      </c>
      <c r="E756" s="10" t="s">
        <v>20</v>
      </c>
      <c r="F756" s="6" t="s">
        <v>9</v>
      </c>
      <c r="G756" s="8">
        <v>59.75</v>
      </c>
      <c r="H756" s="6"/>
    </row>
    <row r="757" spans="1:8">
      <c r="A757" s="5">
        <v>290</v>
      </c>
      <c r="B757" s="6" t="str">
        <f>"张卫"</f>
        <v>张卫</v>
      </c>
      <c r="C757" s="6" t="str">
        <f t="shared" si="33"/>
        <v>女</v>
      </c>
      <c r="D757" s="6" t="str">
        <f>"202115011211"</f>
        <v>202115011211</v>
      </c>
      <c r="E757" s="10" t="s">
        <v>20</v>
      </c>
      <c r="F757" s="6" t="s">
        <v>9</v>
      </c>
      <c r="G757" s="8">
        <v>62.35</v>
      </c>
      <c r="H757" s="6"/>
    </row>
    <row r="758" spans="1:8">
      <c r="A758" s="5">
        <v>588</v>
      </c>
      <c r="B758" s="6" t="str">
        <f>"段素红"</f>
        <v>段素红</v>
      </c>
      <c r="C758" s="6" t="str">
        <f t="shared" si="33"/>
        <v>女</v>
      </c>
      <c r="D758" s="6" t="str">
        <f>"202115011212"</f>
        <v>202115011212</v>
      </c>
      <c r="E758" s="10" t="s">
        <v>20</v>
      </c>
      <c r="F758" s="6" t="s">
        <v>9</v>
      </c>
      <c r="G758" s="8">
        <v>73.3</v>
      </c>
      <c r="H758" s="6"/>
    </row>
    <row r="759" spans="1:8">
      <c r="A759" s="5">
        <v>503</v>
      </c>
      <c r="B759" s="6" t="str">
        <f>"石求慧"</f>
        <v>石求慧</v>
      </c>
      <c r="C759" s="6" t="str">
        <f t="shared" si="33"/>
        <v>女</v>
      </c>
      <c r="D759" s="6" t="str">
        <f>"202115011213"</f>
        <v>202115011213</v>
      </c>
      <c r="E759" s="10" t="s">
        <v>20</v>
      </c>
      <c r="F759" s="6" t="s">
        <v>9</v>
      </c>
      <c r="G759" s="8">
        <v>48.95</v>
      </c>
      <c r="H759" s="6"/>
    </row>
    <row r="760" spans="1:8">
      <c r="A760" s="5">
        <v>385</v>
      </c>
      <c r="B760" s="6" t="str">
        <f>"王芳华"</f>
        <v>王芳华</v>
      </c>
      <c r="C760" s="6" t="str">
        <f t="shared" si="33"/>
        <v>女</v>
      </c>
      <c r="D760" s="6" t="str">
        <f>"202115011214"</f>
        <v>202115011214</v>
      </c>
      <c r="E760" s="10" t="s">
        <v>20</v>
      </c>
      <c r="F760" s="6" t="s">
        <v>9</v>
      </c>
      <c r="G760" s="8">
        <v>60</v>
      </c>
      <c r="H760" s="6"/>
    </row>
    <row r="761" spans="1:8">
      <c r="A761" s="5">
        <v>442</v>
      </c>
      <c r="B761" s="6" t="str">
        <f>"黄珊"</f>
        <v>黄珊</v>
      </c>
      <c r="C761" s="6" t="str">
        <f t="shared" si="33"/>
        <v>女</v>
      </c>
      <c r="D761" s="6" t="str">
        <f>"202115011215"</f>
        <v>202115011215</v>
      </c>
      <c r="E761" s="10" t="s">
        <v>20</v>
      </c>
      <c r="F761" s="6" t="s">
        <v>9</v>
      </c>
      <c r="G761" s="8">
        <v>69.3</v>
      </c>
      <c r="H761" s="6"/>
    </row>
    <row r="762" spans="1:8">
      <c r="A762" s="5">
        <v>429</v>
      </c>
      <c r="B762" s="6" t="str">
        <f>"唐豆"</f>
        <v>唐豆</v>
      </c>
      <c r="C762" s="6" t="str">
        <f t="shared" si="33"/>
        <v>女</v>
      </c>
      <c r="D762" s="6" t="str">
        <f>"202115011216"</f>
        <v>202115011216</v>
      </c>
      <c r="E762" s="10" t="s">
        <v>20</v>
      </c>
      <c r="F762" s="6" t="s">
        <v>9</v>
      </c>
      <c r="G762" s="8">
        <v>61.35</v>
      </c>
      <c r="H762" s="6"/>
    </row>
    <row r="763" spans="1:8">
      <c r="A763" s="5">
        <v>443</v>
      </c>
      <c r="B763" s="6" t="str">
        <f>"蒋艳霞"</f>
        <v>蒋艳霞</v>
      </c>
      <c r="C763" s="6" t="str">
        <f t="shared" si="33"/>
        <v>女</v>
      </c>
      <c r="D763" s="6" t="str">
        <f>"202115011217"</f>
        <v>202115011217</v>
      </c>
      <c r="E763" s="10" t="s">
        <v>20</v>
      </c>
      <c r="F763" s="6" t="s">
        <v>9</v>
      </c>
      <c r="G763" s="8">
        <v>64.95</v>
      </c>
      <c r="H763" s="6"/>
    </row>
    <row r="764" spans="1:8">
      <c r="A764" s="5">
        <v>310</v>
      </c>
      <c r="B764" s="6" t="str">
        <f>"李婕"</f>
        <v>李婕</v>
      </c>
      <c r="C764" s="6" t="str">
        <f t="shared" si="33"/>
        <v>女</v>
      </c>
      <c r="D764" s="6" t="str">
        <f>"202115011218"</f>
        <v>202115011218</v>
      </c>
      <c r="E764" s="10" t="s">
        <v>20</v>
      </c>
      <c r="F764" s="6" t="s">
        <v>9</v>
      </c>
      <c r="G764" s="8">
        <v>63.25</v>
      </c>
      <c r="H764" s="6"/>
    </row>
    <row r="765" spans="1:8">
      <c r="A765" s="5">
        <v>594</v>
      </c>
      <c r="B765" s="6" t="str">
        <f>"石文华"</f>
        <v>石文华</v>
      </c>
      <c r="C765" s="6" t="str">
        <f t="shared" si="33"/>
        <v>女</v>
      </c>
      <c r="D765" s="6" t="str">
        <f>"202115011219"</f>
        <v>202115011219</v>
      </c>
      <c r="E765" s="10" t="s">
        <v>20</v>
      </c>
      <c r="F765" s="6" t="s">
        <v>9</v>
      </c>
      <c r="G765" s="8">
        <v>60.1</v>
      </c>
      <c r="H765" s="6"/>
    </row>
    <row r="766" spans="1:8">
      <c r="A766" s="5">
        <v>243</v>
      </c>
      <c r="B766" s="6" t="str">
        <f>"龙顺林"</f>
        <v>龙顺林</v>
      </c>
      <c r="C766" s="6" t="str">
        <f t="shared" si="33"/>
        <v>女</v>
      </c>
      <c r="D766" s="6" t="str">
        <f>"202115011220"</f>
        <v>202115011220</v>
      </c>
      <c r="E766" s="10" t="s">
        <v>20</v>
      </c>
      <c r="F766" s="6" t="s">
        <v>9</v>
      </c>
      <c r="G766" s="8">
        <v>0</v>
      </c>
      <c r="H766" s="9">
        <v>1</v>
      </c>
    </row>
    <row r="767" spans="1:8">
      <c r="A767" s="5">
        <v>291</v>
      </c>
      <c r="B767" s="6" t="str">
        <f>"杨秋香"</f>
        <v>杨秋香</v>
      </c>
      <c r="C767" s="6" t="str">
        <f t="shared" si="33"/>
        <v>女</v>
      </c>
      <c r="D767" s="6" t="str">
        <f>"202115011221"</f>
        <v>202115011221</v>
      </c>
      <c r="E767" s="10" t="s">
        <v>20</v>
      </c>
      <c r="F767" s="6" t="s">
        <v>9</v>
      </c>
      <c r="G767" s="8">
        <v>69.7</v>
      </c>
      <c r="H767" s="6"/>
    </row>
    <row r="768" spans="1:8">
      <c r="A768" s="5">
        <v>520</v>
      </c>
      <c r="B768" s="6" t="str">
        <f>"刘娟"</f>
        <v>刘娟</v>
      </c>
      <c r="C768" s="6" t="str">
        <f t="shared" si="33"/>
        <v>女</v>
      </c>
      <c r="D768" s="6" t="str">
        <f>"202115011222"</f>
        <v>202115011222</v>
      </c>
      <c r="E768" s="10" t="s">
        <v>20</v>
      </c>
      <c r="F768" s="6" t="s">
        <v>9</v>
      </c>
      <c r="G768" s="8">
        <v>58.4</v>
      </c>
      <c r="H768" s="6"/>
    </row>
    <row r="769" spans="1:8">
      <c r="A769" s="5">
        <v>578</v>
      </c>
      <c r="B769" s="6" t="str">
        <f>"王璐"</f>
        <v>王璐</v>
      </c>
      <c r="C769" s="6" t="str">
        <f t="shared" si="33"/>
        <v>女</v>
      </c>
      <c r="D769" s="6" t="str">
        <f>"202115011223"</f>
        <v>202115011223</v>
      </c>
      <c r="E769" s="10" t="s">
        <v>20</v>
      </c>
      <c r="F769" s="6" t="s">
        <v>9</v>
      </c>
      <c r="G769" s="8">
        <v>66.45</v>
      </c>
      <c r="H769" s="6"/>
    </row>
    <row r="770" spans="1:8">
      <c r="A770" s="5">
        <v>547</v>
      </c>
      <c r="B770" s="6" t="str">
        <f>"李斯"</f>
        <v>李斯</v>
      </c>
      <c r="C770" s="6" t="str">
        <f t="shared" si="33"/>
        <v>女</v>
      </c>
      <c r="D770" s="6" t="str">
        <f>"202115011224"</f>
        <v>202115011224</v>
      </c>
      <c r="E770" s="10" t="s">
        <v>20</v>
      </c>
      <c r="F770" s="6" t="s">
        <v>9</v>
      </c>
      <c r="G770" s="8">
        <v>61.8</v>
      </c>
      <c r="H770" s="6"/>
    </row>
    <row r="771" spans="1:8">
      <c r="A771" s="5">
        <v>367</v>
      </c>
      <c r="B771" s="6" t="str">
        <f>"易琴琴"</f>
        <v>易琴琴</v>
      </c>
      <c r="C771" s="6" t="str">
        <f t="shared" si="33"/>
        <v>女</v>
      </c>
      <c r="D771" s="6" t="str">
        <f>"202115011225"</f>
        <v>202115011225</v>
      </c>
      <c r="E771" s="10" t="s">
        <v>20</v>
      </c>
      <c r="F771" s="6" t="s">
        <v>9</v>
      </c>
      <c r="G771" s="8">
        <v>66.8</v>
      </c>
      <c r="H771" s="6"/>
    </row>
    <row r="772" spans="1:8">
      <c r="A772" s="5">
        <v>465</v>
      </c>
      <c r="B772" s="6" t="str">
        <f>"龙小凤"</f>
        <v>龙小凤</v>
      </c>
      <c r="C772" s="6" t="str">
        <f t="shared" si="33"/>
        <v>女</v>
      </c>
      <c r="D772" s="6" t="str">
        <f>"202115011226"</f>
        <v>202115011226</v>
      </c>
      <c r="E772" s="10" t="s">
        <v>20</v>
      </c>
      <c r="F772" s="6" t="s">
        <v>9</v>
      </c>
      <c r="G772" s="8">
        <v>64.150000000000006</v>
      </c>
      <c r="H772" s="6"/>
    </row>
    <row r="773" spans="1:8">
      <c r="A773" s="5">
        <v>307</v>
      </c>
      <c r="B773" s="6" t="str">
        <f>"易诗薇"</f>
        <v>易诗薇</v>
      </c>
      <c r="C773" s="6" t="str">
        <f t="shared" si="33"/>
        <v>女</v>
      </c>
      <c r="D773" s="6" t="str">
        <f>"202115011227"</f>
        <v>202115011227</v>
      </c>
      <c r="E773" s="10" t="s">
        <v>20</v>
      </c>
      <c r="F773" s="6" t="s">
        <v>9</v>
      </c>
      <c r="G773" s="8">
        <v>55.8</v>
      </c>
      <c r="H773" s="6"/>
    </row>
    <row r="774" spans="1:8">
      <c r="A774" s="5">
        <v>396</v>
      </c>
      <c r="B774" s="6" t="str">
        <f>"刘佳妮"</f>
        <v>刘佳妮</v>
      </c>
      <c r="C774" s="6" t="str">
        <f t="shared" si="33"/>
        <v>女</v>
      </c>
      <c r="D774" s="6" t="str">
        <f>"202115011228"</f>
        <v>202115011228</v>
      </c>
      <c r="E774" s="10" t="s">
        <v>20</v>
      </c>
      <c r="F774" s="6" t="s">
        <v>9</v>
      </c>
      <c r="G774" s="8">
        <v>0</v>
      </c>
      <c r="H774" s="9">
        <v>1</v>
      </c>
    </row>
    <row r="775" spans="1:8">
      <c r="A775" s="5">
        <v>625</v>
      </c>
      <c r="B775" s="6" t="str">
        <f>"贺瑶"</f>
        <v>贺瑶</v>
      </c>
      <c r="C775" s="6" t="str">
        <f t="shared" si="33"/>
        <v>女</v>
      </c>
      <c r="D775" s="6" t="str">
        <f>"202115011229"</f>
        <v>202115011229</v>
      </c>
      <c r="E775" s="10" t="s">
        <v>20</v>
      </c>
      <c r="F775" s="6" t="s">
        <v>9</v>
      </c>
      <c r="G775" s="8">
        <v>54.45</v>
      </c>
      <c r="H775" s="6"/>
    </row>
    <row r="776" spans="1:8">
      <c r="A776" s="5">
        <v>251</v>
      </c>
      <c r="B776" s="6" t="str">
        <f>"张芝月"</f>
        <v>张芝月</v>
      </c>
      <c r="C776" s="6" t="str">
        <f t="shared" si="33"/>
        <v>女</v>
      </c>
      <c r="D776" s="6" t="str">
        <f>"202115011230"</f>
        <v>202115011230</v>
      </c>
      <c r="E776" s="10" t="s">
        <v>20</v>
      </c>
      <c r="F776" s="6" t="s">
        <v>9</v>
      </c>
      <c r="G776" s="8">
        <v>0</v>
      </c>
      <c r="H776" s="9">
        <v>1</v>
      </c>
    </row>
    <row r="777" spans="1:8">
      <c r="A777" s="5">
        <v>452</v>
      </c>
      <c r="B777" s="6" t="str">
        <f>"石丽娅"</f>
        <v>石丽娅</v>
      </c>
      <c r="C777" s="6" t="str">
        <f t="shared" si="33"/>
        <v>女</v>
      </c>
      <c r="D777" s="6" t="str">
        <f>"202115011301"</f>
        <v>202115011301</v>
      </c>
      <c r="E777" s="10" t="s">
        <v>20</v>
      </c>
      <c r="F777" s="6" t="s">
        <v>9</v>
      </c>
      <c r="G777" s="8">
        <v>65.55</v>
      </c>
      <c r="H777" s="6"/>
    </row>
    <row r="778" spans="1:8">
      <c r="A778" s="5">
        <v>571</v>
      </c>
      <c r="B778" s="6" t="str">
        <f>"陈宇凤"</f>
        <v>陈宇凤</v>
      </c>
      <c r="C778" s="6" t="str">
        <f t="shared" si="33"/>
        <v>女</v>
      </c>
      <c r="D778" s="6" t="str">
        <f>"202115011302"</f>
        <v>202115011302</v>
      </c>
      <c r="E778" s="10" t="s">
        <v>20</v>
      </c>
      <c r="F778" s="6" t="s">
        <v>9</v>
      </c>
      <c r="G778" s="8">
        <v>63.1</v>
      </c>
      <c r="H778" s="6"/>
    </row>
    <row r="779" spans="1:8">
      <c r="A779" s="5">
        <v>492</v>
      </c>
      <c r="B779" s="6" t="str">
        <f>"郭艳明"</f>
        <v>郭艳明</v>
      </c>
      <c r="C779" s="6" t="str">
        <f t="shared" si="33"/>
        <v>女</v>
      </c>
      <c r="D779" s="6" t="str">
        <f>"202115011303"</f>
        <v>202115011303</v>
      </c>
      <c r="E779" s="10" t="s">
        <v>20</v>
      </c>
      <c r="F779" s="6" t="s">
        <v>9</v>
      </c>
      <c r="G779" s="8">
        <v>65.55</v>
      </c>
      <c r="H779" s="6"/>
    </row>
    <row r="780" spans="1:8">
      <c r="A780" s="5">
        <v>322</v>
      </c>
      <c r="B780" s="6" t="str">
        <f>"唐小芬"</f>
        <v>唐小芬</v>
      </c>
      <c r="C780" s="6" t="str">
        <f t="shared" si="33"/>
        <v>女</v>
      </c>
      <c r="D780" s="6" t="str">
        <f>"202115011304"</f>
        <v>202115011304</v>
      </c>
      <c r="E780" s="10" t="s">
        <v>20</v>
      </c>
      <c r="F780" s="6" t="s">
        <v>9</v>
      </c>
      <c r="G780" s="8">
        <v>52.7</v>
      </c>
      <c r="H780" s="6"/>
    </row>
    <row r="781" spans="1:8">
      <c r="A781" s="5">
        <v>609</v>
      </c>
      <c r="B781" s="6" t="str">
        <f>"杨雨兰"</f>
        <v>杨雨兰</v>
      </c>
      <c r="C781" s="6" t="str">
        <f t="shared" si="33"/>
        <v>女</v>
      </c>
      <c r="D781" s="6" t="str">
        <f>"202115011305"</f>
        <v>202115011305</v>
      </c>
      <c r="E781" s="10" t="s">
        <v>20</v>
      </c>
      <c r="F781" s="6" t="s">
        <v>9</v>
      </c>
      <c r="G781" s="8">
        <v>52.1</v>
      </c>
      <c r="H781" s="6"/>
    </row>
    <row r="782" spans="1:8">
      <c r="A782" s="5">
        <v>288</v>
      </c>
      <c r="B782" s="6" t="str">
        <f>"钟佳梅"</f>
        <v>钟佳梅</v>
      </c>
      <c r="C782" s="6" t="str">
        <f t="shared" si="33"/>
        <v>女</v>
      </c>
      <c r="D782" s="6" t="str">
        <f>"202115011306"</f>
        <v>202115011306</v>
      </c>
      <c r="E782" s="10" t="s">
        <v>20</v>
      </c>
      <c r="F782" s="6" t="s">
        <v>9</v>
      </c>
      <c r="G782" s="8">
        <v>49.5</v>
      </c>
      <c r="H782" s="6"/>
    </row>
    <row r="783" spans="1:8">
      <c r="A783" s="5">
        <v>606</v>
      </c>
      <c r="B783" s="6" t="str">
        <f>"张敏"</f>
        <v>张敏</v>
      </c>
      <c r="C783" s="6" t="str">
        <f t="shared" si="33"/>
        <v>女</v>
      </c>
      <c r="D783" s="6" t="str">
        <f>"202115011307"</f>
        <v>202115011307</v>
      </c>
      <c r="E783" s="10" t="s">
        <v>20</v>
      </c>
      <c r="F783" s="6" t="s">
        <v>9</v>
      </c>
      <c r="G783" s="8">
        <v>66</v>
      </c>
      <c r="H783" s="6"/>
    </row>
    <row r="784" spans="1:8">
      <c r="A784" s="5">
        <v>642</v>
      </c>
      <c r="B784" s="6" t="str">
        <f>"蒋欣言"</f>
        <v>蒋欣言</v>
      </c>
      <c r="C784" s="6" t="str">
        <f t="shared" si="33"/>
        <v>女</v>
      </c>
      <c r="D784" s="6" t="str">
        <f>"202115011308"</f>
        <v>202115011308</v>
      </c>
      <c r="E784" s="10" t="s">
        <v>20</v>
      </c>
      <c r="F784" s="6" t="s">
        <v>9</v>
      </c>
      <c r="G784" s="8">
        <v>62.45</v>
      </c>
      <c r="H784" s="6"/>
    </row>
    <row r="785" spans="1:8">
      <c r="A785" s="5">
        <v>353</v>
      </c>
      <c r="B785" s="6" t="str">
        <f>"黄丹娜"</f>
        <v>黄丹娜</v>
      </c>
      <c r="C785" s="6" t="str">
        <f t="shared" si="33"/>
        <v>女</v>
      </c>
      <c r="D785" s="6" t="str">
        <f>"202115011309"</f>
        <v>202115011309</v>
      </c>
      <c r="E785" s="10" t="s">
        <v>20</v>
      </c>
      <c r="F785" s="6" t="s">
        <v>9</v>
      </c>
      <c r="G785" s="8">
        <v>73.75</v>
      </c>
      <c r="H785" s="6"/>
    </row>
    <row r="786" spans="1:8">
      <c r="A786" s="5">
        <v>522</v>
      </c>
      <c r="B786" s="6" t="str">
        <f>"张琪"</f>
        <v>张琪</v>
      </c>
      <c r="C786" s="6" t="str">
        <f t="shared" si="33"/>
        <v>女</v>
      </c>
      <c r="D786" s="6" t="str">
        <f>"202115011310"</f>
        <v>202115011310</v>
      </c>
      <c r="E786" s="10" t="s">
        <v>20</v>
      </c>
      <c r="F786" s="6" t="s">
        <v>9</v>
      </c>
      <c r="G786" s="8">
        <v>62.55</v>
      </c>
      <c r="H786" s="6"/>
    </row>
    <row r="787" spans="1:8">
      <c r="A787" s="5">
        <v>676</v>
      </c>
      <c r="B787" s="6" t="str">
        <f>"戴香梅"</f>
        <v>戴香梅</v>
      </c>
      <c r="C787" s="6" t="str">
        <f t="shared" si="33"/>
        <v>女</v>
      </c>
      <c r="D787" s="6" t="str">
        <f>"202115011311"</f>
        <v>202115011311</v>
      </c>
      <c r="E787" s="10" t="s">
        <v>20</v>
      </c>
      <c r="F787" s="6" t="s">
        <v>9</v>
      </c>
      <c r="G787" s="8">
        <v>63.55</v>
      </c>
      <c r="H787" s="6"/>
    </row>
    <row r="788" spans="1:8">
      <c r="A788" s="5">
        <v>449</v>
      </c>
      <c r="B788" s="6" t="str">
        <f>"黄超男"</f>
        <v>黄超男</v>
      </c>
      <c r="C788" s="6" t="str">
        <f t="shared" si="33"/>
        <v>女</v>
      </c>
      <c r="D788" s="6" t="str">
        <f>"202115011312"</f>
        <v>202115011312</v>
      </c>
      <c r="E788" s="10" t="s">
        <v>20</v>
      </c>
      <c r="F788" s="6" t="s">
        <v>9</v>
      </c>
      <c r="G788" s="8">
        <v>67.650000000000006</v>
      </c>
      <c r="H788" s="6"/>
    </row>
    <row r="789" spans="1:8">
      <c r="A789" s="5">
        <v>273</v>
      </c>
      <c r="B789" s="6" t="str">
        <f>"孙旖雯"</f>
        <v>孙旖雯</v>
      </c>
      <c r="C789" s="6" t="str">
        <f t="shared" si="33"/>
        <v>女</v>
      </c>
      <c r="D789" s="6" t="str">
        <f>"202115011313"</f>
        <v>202115011313</v>
      </c>
      <c r="E789" s="10" t="s">
        <v>20</v>
      </c>
      <c r="F789" s="6" t="s">
        <v>9</v>
      </c>
      <c r="G789" s="8">
        <v>0</v>
      </c>
      <c r="H789" s="9">
        <v>1</v>
      </c>
    </row>
    <row r="790" spans="1:8">
      <c r="A790" s="5">
        <v>576</v>
      </c>
      <c r="B790" s="6" t="str">
        <f>"陈芳芳"</f>
        <v>陈芳芳</v>
      </c>
      <c r="C790" s="6" t="str">
        <f t="shared" si="33"/>
        <v>女</v>
      </c>
      <c r="D790" s="6" t="str">
        <f>"202115011314"</f>
        <v>202115011314</v>
      </c>
      <c r="E790" s="10" t="s">
        <v>20</v>
      </c>
      <c r="F790" s="6" t="s">
        <v>9</v>
      </c>
      <c r="G790" s="8">
        <v>62.4</v>
      </c>
      <c r="H790" s="6"/>
    </row>
    <row r="791" spans="1:8">
      <c r="A791" s="5">
        <v>627</v>
      </c>
      <c r="B791" s="6" t="str">
        <f>"周丽蓉"</f>
        <v>周丽蓉</v>
      </c>
      <c r="C791" s="6" t="str">
        <f t="shared" si="33"/>
        <v>女</v>
      </c>
      <c r="D791" s="6" t="str">
        <f>"202115011315"</f>
        <v>202115011315</v>
      </c>
      <c r="E791" s="10" t="s">
        <v>20</v>
      </c>
      <c r="F791" s="6" t="s">
        <v>9</v>
      </c>
      <c r="G791" s="8">
        <v>0</v>
      </c>
      <c r="H791" s="9">
        <v>1</v>
      </c>
    </row>
    <row r="792" spans="1:8">
      <c r="A792" s="5">
        <v>300</v>
      </c>
      <c r="B792" s="6" t="str">
        <f>"吴杨"</f>
        <v>吴杨</v>
      </c>
      <c r="C792" s="6" t="str">
        <f t="shared" si="33"/>
        <v>女</v>
      </c>
      <c r="D792" s="6" t="str">
        <f>"202115011316"</f>
        <v>202115011316</v>
      </c>
      <c r="E792" s="10" t="s">
        <v>20</v>
      </c>
      <c r="F792" s="6" t="s">
        <v>9</v>
      </c>
      <c r="G792" s="8">
        <v>0</v>
      </c>
      <c r="H792" s="9">
        <v>1</v>
      </c>
    </row>
    <row r="793" spans="1:8">
      <c r="A793" s="5">
        <v>237</v>
      </c>
      <c r="B793" s="6" t="str">
        <f>"邹小东"</f>
        <v>邹小东</v>
      </c>
      <c r="C793" s="6" t="str">
        <f>"男"</f>
        <v>男</v>
      </c>
      <c r="D793" s="6" t="str">
        <f>"202115011317"</f>
        <v>202115011317</v>
      </c>
      <c r="E793" s="10" t="s">
        <v>20</v>
      </c>
      <c r="F793" s="6" t="s">
        <v>9</v>
      </c>
      <c r="G793" s="8">
        <v>60.4</v>
      </c>
      <c r="H793" s="6"/>
    </row>
    <row r="794" spans="1:8">
      <c r="A794" s="5">
        <v>225</v>
      </c>
      <c r="B794" s="6" t="str">
        <f>"汪乐"</f>
        <v>汪乐</v>
      </c>
      <c r="C794" s="6" t="str">
        <f t="shared" ref="C794:C801" si="34">"女"</f>
        <v>女</v>
      </c>
      <c r="D794" s="6" t="str">
        <f>"202115011318"</f>
        <v>202115011318</v>
      </c>
      <c r="E794" s="10" t="s">
        <v>20</v>
      </c>
      <c r="F794" s="6" t="s">
        <v>9</v>
      </c>
      <c r="G794" s="8">
        <v>60.7</v>
      </c>
      <c r="H794" s="6"/>
    </row>
    <row r="795" spans="1:8">
      <c r="A795" s="5">
        <v>433</v>
      </c>
      <c r="B795" s="6" t="str">
        <f>"尹伊"</f>
        <v>尹伊</v>
      </c>
      <c r="C795" s="6" t="str">
        <f t="shared" si="34"/>
        <v>女</v>
      </c>
      <c r="D795" s="6" t="str">
        <f>"202115011319"</f>
        <v>202115011319</v>
      </c>
      <c r="E795" s="10" t="s">
        <v>20</v>
      </c>
      <c r="F795" s="6" t="s">
        <v>9</v>
      </c>
      <c r="G795" s="8">
        <v>55.35</v>
      </c>
      <c r="H795" s="6"/>
    </row>
    <row r="796" spans="1:8">
      <c r="A796" s="5">
        <v>325</v>
      </c>
      <c r="B796" s="6" t="str">
        <f>"谭广英"</f>
        <v>谭广英</v>
      </c>
      <c r="C796" s="6" t="str">
        <f t="shared" si="34"/>
        <v>女</v>
      </c>
      <c r="D796" s="6" t="str">
        <f>"202115011320"</f>
        <v>202115011320</v>
      </c>
      <c r="E796" s="10" t="s">
        <v>20</v>
      </c>
      <c r="F796" s="6" t="s">
        <v>9</v>
      </c>
      <c r="G796" s="8">
        <v>72.150000000000006</v>
      </c>
      <c r="H796" s="6"/>
    </row>
    <row r="797" spans="1:8">
      <c r="A797" s="5">
        <v>513</v>
      </c>
      <c r="B797" s="6" t="str">
        <f>"刘微"</f>
        <v>刘微</v>
      </c>
      <c r="C797" s="6" t="str">
        <f t="shared" si="34"/>
        <v>女</v>
      </c>
      <c r="D797" s="6" t="str">
        <f>"202115011321"</f>
        <v>202115011321</v>
      </c>
      <c r="E797" s="10" t="s">
        <v>20</v>
      </c>
      <c r="F797" s="6" t="s">
        <v>9</v>
      </c>
      <c r="G797" s="8">
        <v>62.1</v>
      </c>
      <c r="H797" s="6"/>
    </row>
    <row r="798" spans="1:8">
      <c r="A798" s="5">
        <v>501</v>
      </c>
      <c r="B798" s="6" t="str">
        <f>"孙中晴"</f>
        <v>孙中晴</v>
      </c>
      <c r="C798" s="6" t="str">
        <f t="shared" si="34"/>
        <v>女</v>
      </c>
      <c r="D798" s="6" t="str">
        <f>"202115011322"</f>
        <v>202115011322</v>
      </c>
      <c r="E798" s="10" t="s">
        <v>20</v>
      </c>
      <c r="F798" s="6" t="s">
        <v>9</v>
      </c>
      <c r="G798" s="8">
        <v>53.1</v>
      </c>
      <c r="H798" s="6"/>
    </row>
    <row r="799" spans="1:8">
      <c r="A799" s="5">
        <v>585</v>
      </c>
      <c r="B799" s="6" t="str">
        <f>"彭石花"</f>
        <v>彭石花</v>
      </c>
      <c r="C799" s="6" t="str">
        <f t="shared" si="34"/>
        <v>女</v>
      </c>
      <c r="D799" s="6" t="str">
        <f>"202115011323"</f>
        <v>202115011323</v>
      </c>
      <c r="E799" s="10" t="s">
        <v>20</v>
      </c>
      <c r="F799" s="6" t="s">
        <v>9</v>
      </c>
      <c r="G799" s="8">
        <v>49.5</v>
      </c>
      <c r="H799" s="6"/>
    </row>
    <row r="800" spans="1:8">
      <c r="A800" s="5">
        <v>294</v>
      </c>
      <c r="B800" s="6" t="str">
        <f>"黎娅"</f>
        <v>黎娅</v>
      </c>
      <c r="C800" s="6" t="str">
        <f t="shared" si="34"/>
        <v>女</v>
      </c>
      <c r="D800" s="6" t="str">
        <f>"202115011324"</f>
        <v>202115011324</v>
      </c>
      <c r="E800" s="10" t="s">
        <v>20</v>
      </c>
      <c r="F800" s="6" t="s">
        <v>9</v>
      </c>
      <c r="G800" s="8">
        <v>64.650000000000006</v>
      </c>
      <c r="H800" s="6"/>
    </row>
    <row r="801" spans="1:8">
      <c r="A801" s="5">
        <v>351</v>
      </c>
      <c r="B801" s="6" t="str">
        <f>"毛红玲"</f>
        <v>毛红玲</v>
      </c>
      <c r="C801" s="6" t="str">
        <f t="shared" si="34"/>
        <v>女</v>
      </c>
      <c r="D801" s="6" t="str">
        <f>"202115011325"</f>
        <v>202115011325</v>
      </c>
      <c r="E801" s="10" t="s">
        <v>20</v>
      </c>
      <c r="F801" s="6" t="s">
        <v>9</v>
      </c>
      <c r="G801" s="8">
        <v>70.25</v>
      </c>
      <c r="H801" s="6"/>
    </row>
    <row r="802" spans="1:8">
      <c r="A802" s="5">
        <v>633</v>
      </c>
      <c r="B802" s="6" t="str">
        <f>"彭源頔"</f>
        <v>彭源頔</v>
      </c>
      <c r="C802" s="6" t="str">
        <f>"男"</f>
        <v>男</v>
      </c>
      <c r="D802" s="6" t="str">
        <f>"202115011326"</f>
        <v>202115011326</v>
      </c>
      <c r="E802" s="10" t="s">
        <v>20</v>
      </c>
      <c r="F802" s="6" t="s">
        <v>9</v>
      </c>
      <c r="G802" s="8">
        <v>57.9</v>
      </c>
      <c r="H802" s="6"/>
    </row>
    <row r="803" spans="1:8">
      <c r="A803" s="5">
        <v>647</v>
      </c>
      <c r="B803" s="6" t="str">
        <f>"伍芬妍"</f>
        <v>伍芬妍</v>
      </c>
      <c r="C803" s="6" t="str">
        <f t="shared" ref="C803:C834" si="35">"女"</f>
        <v>女</v>
      </c>
      <c r="D803" s="6" t="str">
        <f>"202115011327"</f>
        <v>202115011327</v>
      </c>
      <c r="E803" s="10" t="s">
        <v>20</v>
      </c>
      <c r="F803" s="6" t="s">
        <v>9</v>
      </c>
      <c r="G803" s="8">
        <v>63.3</v>
      </c>
      <c r="H803" s="6"/>
    </row>
    <row r="804" spans="1:8">
      <c r="A804" s="5">
        <v>244</v>
      </c>
      <c r="B804" s="6" t="str">
        <f>"李西娟"</f>
        <v>李西娟</v>
      </c>
      <c r="C804" s="6" t="str">
        <f t="shared" si="35"/>
        <v>女</v>
      </c>
      <c r="D804" s="6" t="str">
        <f>"202115011328"</f>
        <v>202115011328</v>
      </c>
      <c r="E804" s="10" t="s">
        <v>20</v>
      </c>
      <c r="F804" s="6" t="s">
        <v>9</v>
      </c>
      <c r="G804" s="8">
        <v>53.9</v>
      </c>
      <c r="H804" s="6"/>
    </row>
    <row r="805" spans="1:8">
      <c r="A805" s="5">
        <v>653</v>
      </c>
      <c r="B805" s="6" t="str">
        <f>"易梅"</f>
        <v>易梅</v>
      </c>
      <c r="C805" s="6" t="str">
        <f t="shared" si="35"/>
        <v>女</v>
      </c>
      <c r="D805" s="6" t="str">
        <f>"202115011329"</f>
        <v>202115011329</v>
      </c>
      <c r="E805" s="10" t="s">
        <v>20</v>
      </c>
      <c r="F805" s="6" t="s">
        <v>9</v>
      </c>
      <c r="G805" s="8">
        <v>67.349999999999994</v>
      </c>
      <c r="H805" s="6"/>
    </row>
    <row r="806" spans="1:8">
      <c r="A806" s="5">
        <v>528</v>
      </c>
      <c r="B806" s="6" t="str">
        <f>"游澜"</f>
        <v>游澜</v>
      </c>
      <c r="C806" s="6" t="str">
        <f t="shared" si="35"/>
        <v>女</v>
      </c>
      <c r="D806" s="6" t="str">
        <f>"202115011330"</f>
        <v>202115011330</v>
      </c>
      <c r="E806" s="10" t="s">
        <v>20</v>
      </c>
      <c r="F806" s="6" t="s">
        <v>9</v>
      </c>
      <c r="G806" s="8">
        <v>0</v>
      </c>
      <c r="H806" s="9">
        <v>1</v>
      </c>
    </row>
    <row r="807" spans="1:8">
      <c r="A807" s="5">
        <v>665</v>
      </c>
      <c r="B807" s="6" t="str">
        <f>"杨丹"</f>
        <v>杨丹</v>
      </c>
      <c r="C807" s="6" t="str">
        <f t="shared" si="35"/>
        <v>女</v>
      </c>
      <c r="D807" s="6" t="str">
        <f>"202115011401"</f>
        <v>202115011401</v>
      </c>
      <c r="E807" s="10" t="s">
        <v>20</v>
      </c>
      <c r="F807" s="6" t="s">
        <v>9</v>
      </c>
      <c r="G807" s="8">
        <v>63.55</v>
      </c>
      <c r="H807" s="6"/>
    </row>
    <row r="808" spans="1:8">
      <c r="A808" s="5">
        <v>519</v>
      </c>
      <c r="B808" s="6" t="str">
        <f>"王海莲"</f>
        <v>王海莲</v>
      </c>
      <c r="C808" s="6" t="str">
        <f t="shared" si="35"/>
        <v>女</v>
      </c>
      <c r="D808" s="6" t="str">
        <f>"202115011402"</f>
        <v>202115011402</v>
      </c>
      <c r="E808" s="10" t="s">
        <v>20</v>
      </c>
      <c r="F808" s="6" t="s">
        <v>9</v>
      </c>
      <c r="G808" s="8">
        <v>58.5</v>
      </c>
      <c r="H808" s="6"/>
    </row>
    <row r="809" spans="1:8">
      <c r="A809" s="5">
        <v>517</v>
      </c>
      <c r="B809" s="6" t="str">
        <f>"李罗宁"</f>
        <v>李罗宁</v>
      </c>
      <c r="C809" s="6" t="str">
        <f t="shared" si="35"/>
        <v>女</v>
      </c>
      <c r="D809" s="6" t="str">
        <f>"202115011403"</f>
        <v>202115011403</v>
      </c>
      <c r="E809" s="10" t="s">
        <v>20</v>
      </c>
      <c r="F809" s="6" t="s">
        <v>9</v>
      </c>
      <c r="G809" s="8">
        <v>35.5</v>
      </c>
      <c r="H809" s="6"/>
    </row>
    <row r="810" spans="1:8">
      <c r="A810" s="5">
        <v>445</v>
      </c>
      <c r="B810" s="6" t="str">
        <f>"陈琴琴"</f>
        <v>陈琴琴</v>
      </c>
      <c r="C810" s="6" t="str">
        <f t="shared" si="35"/>
        <v>女</v>
      </c>
      <c r="D810" s="6" t="str">
        <f>"202115011404"</f>
        <v>202115011404</v>
      </c>
      <c r="E810" s="10" t="s">
        <v>20</v>
      </c>
      <c r="F810" s="6" t="s">
        <v>9</v>
      </c>
      <c r="G810" s="8">
        <v>0</v>
      </c>
      <c r="H810" s="9">
        <v>1</v>
      </c>
    </row>
    <row r="811" spans="1:8">
      <c r="A811" s="5">
        <v>504</v>
      </c>
      <c r="B811" s="6" t="str">
        <f>"王蝶"</f>
        <v>王蝶</v>
      </c>
      <c r="C811" s="6" t="str">
        <f t="shared" si="35"/>
        <v>女</v>
      </c>
      <c r="D811" s="6" t="str">
        <f>"202115011405"</f>
        <v>202115011405</v>
      </c>
      <c r="E811" s="10" t="s">
        <v>20</v>
      </c>
      <c r="F811" s="6" t="s">
        <v>9</v>
      </c>
      <c r="G811" s="8">
        <v>0</v>
      </c>
      <c r="H811" s="9">
        <v>1</v>
      </c>
    </row>
    <row r="812" spans="1:8">
      <c r="A812" s="5">
        <v>651</v>
      </c>
      <c r="B812" s="6" t="str">
        <f>"莫叶"</f>
        <v>莫叶</v>
      </c>
      <c r="C812" s="6" t="str">
        <f t="shared" si="35"/>
        <v>女</v>
      </c>
      <c r="D812" s="6" t="str">
        <f>"202115011406"</f>
        <v>202115011406</v>
      </c>
      <c r="E812" s="10" t="s">
        <v>20</v>
      </c>
      <c r="F812" s="6" t="s">
        <v>9</v>
      </c>
      <c r="G812" s="8">
        <v>74.25</v>
      </c>
      <c r="H812" s="6"/>
    </row>
    <row r="813" spans="1:8">
      <c r="A813" s="5">
        <v>337</v>
      </c>
      <c r="B813" s="6" t="str">
        <f>"唐琼雄"</f>
        <v>唐琼雄</v>
      </c>
      <c r="C813" s="6" t="str">
        <f t="shared" si="35"/>
        <v>女</v>
      </c>
      <c r="D813" s="6" t="str">
        <f>"202115011407"</f>
        <v>202115011407</v>
      </c>
      <c r="E813" s="10" t="s">
        <v>20</v>
      </c>
      <c r="F813" s="6" t="s">
        <v>9</v>
      </c>
      <c r="G813" s="8">
        <v>46.35</v>
      </c>
      <c r="H813" s="6"/>
    </row>
    <row r="814" spans="1:8">
      <c r="A814" s="5">
        <v>239</v>
      </c>
      <c r="B814" s="6" t="str">
        <f>"陈晶晶"</f>
        <v>陈晶晶</v>
      </c>
      <c r="C814" s="6" t="str">
        <f t="shared" si="35"/>
        <v>女</v>
      </c>
      <c r="D814" s="6" t="str">
        <f>"202115011408"</f>
        <v>202115011408</v>
      </c>
      <c r="E814" s="10" t="s">
        <v>20</v>
      </c>
      <c r="F814" s="6" t="s">
        <v>9</v>
      </c>
      <c r="G814" s="8">
        <v>0</v>
      </c>
      <c r="H814" s="9">
        <v>1</v>
      </c>
    </row>
    <row r="815" spans="1:8">
      <c r="A815" s="5">
        <v>331</v>
      </c>
      <c r="B815" s="6" t="str">
        <f>"尹嫱"</f>
        <v>尹嫱</v>
      </c>
      <c r="C815" s="6" t="str">
        <f t="shared" si="35"/>
        <v>女</v>
      </c>
      <c r="D815" s="6" t="str">
        <f>"202115011409"</f>
        <v>202115011409</v>
      </c>
      <c r="E815" s="10" t="s">
        <v>20</v>
      </c>
      <c r="F815" s="6" t="s">
        <v>9</v>
      </c>
      <c r="G815" s="8">
        <v>0</v>
      </c>
      <c r="H815" s="9">
        <v>1</v>
      </c>
    </row>
    <row r="816" spans="1:8">
      <c r="A816" s="5">
        <v>583</v>
      </c>
      <c r="B816" s="6" t="str">
        <f>"唐精霞"</f>
        <v>唐精霞</v>
      </c>
      <c r="C816" s="6" t="str">
        <f t="shared" si="35"/>
        <v>女</v>
      </c>
      <c r="D816" s="6" t="str">
        <f>"202115011410"</f>
        <v>202115011410</v>
      </c>
      <c r="E816" s="10" t="s">
        <v>20</v>
      </c>
      <c r="F816" s="6" t="s">
        <v>9</v>
      </c>
      <c r="G816" s="8">
        <v>48.05</v>
      </c>
      <c r="H816" s="6"/>
    </row>
    <row r="817" spans="1:8">
      <c r="A817" s="5">
        <v>285</v>
      </c>
      <c r="B817" s="6" t="str">
        <f>"谢锦"</f>
        <v>谢锦</v>
      </c>
      <c r="C817" s="6" t="str">
        <f t="shared" si="35"/>
        <v>女</v>
      </c>
      <c r="D817" s="6" t="str">
        <f>"202115011411"</f>
        <v>202115011411</v>
      </c>
      <c r="E817" s="10" t="s">
        <v>20</v>
      </c>
      <c r="F817" s="6" t="s">
        <v>9</v>
      </c>
      <c r="G817" s="8">
        <v>65.099999999999994</v>
      </c>
      <c r="H817" s="6"/>
    </row>
    <row r="818" spans="1:8">
      <c r="A818" s="5">
        <v>458</v>
      </c>
      <c r="B818" s="6" t="str">
        <f>"刘瑶"</f>
        <v>刘瑶</v>
      </c>
      <c r="C818" s="6" t="str">
        <f t="shared" si="35"/>
        <v>女</v>
      </c>
      <c r="D818" s="6" t="str">
        <f>"202115011412"</f>
        <v>202115011412</v>
      </c>
      <c r="E818" s="10" t="s">
        <v>20</v>
      </c>
      <c r="F818" s="6" t="s">
        <v>9</v>
      </c>
      <c r="G818" s="8">
        <v>65.55</v>
      </c>
      <c r="H818" s="6"/>
    </row>
    <row r="819" spans="1:8">
      <c r="A819" s="5">
        <v>248</v>
      </c>
      <c r="B819" s="6" t="str">
        <f>"张濒元"</f>
        <v>张濒元</v>
      </c>
      <c r="C819" s="6" t="str">
        <f t="shared" si="35"/>
        <v>女</v>
      </c>
      <c r="D819" s="6" t="str">
        <f>"202115011413"</f>
        <v>202115011413</v>
      </c>
      <c r="E819" s="10" t="s">
        <v>20</v>
      </c>
      <c r="F819" s="6" t="s">
        <v>9</v>
      </c>
      <c r="G819" s="8">
        <v>64.8</v>
      </c>
      <c r="H819" s="6"/>
    </row>
    <row r="820" spans="1:8">
      <c r="A820" s="5">
        <v>451</v>
      </c>
      <c r="B820" s="6" t="str">
        <f>"张林玉"</f>
        <v>张林玉</v>
      </c>
      <c r="C820" s="6" t="str">
        <f t="shared" si="35"/>
        <v>女</v>
      </c>
      <c r="D820" s="6" t="str">
        <f>"202115011414"</f>
        <v>202115011414</v>
      </c>
      <c r="E820" s="10" t="s">
        <v>20</v>
      </c>
      <c r="F820" s="6" t="s">
        <v>9</v>
      </c>
      <c r="G820" s="8">
        <v>50.65</v>
      </c>
      <c r="H820" s="6"/>
    </row>
    <row r="821" spans="1:8">
      <c r="A821" s="5">
        <v>329</v>
      </c>
      <c r="B821" s="6" t="str">
        <f>"刘莉"</f>
        <v>刘莉</v>
      </c>
      <c r="C821" s="6" t="str">
        <f t="shared" si="35"/>
        <v>女</v>
      </c>
      <c r="D821" s="6" t="str">
        <f>"202115011415"</f>
        <v>202115011415</v>
      </c>
      <c r="E821" s="10" t="s">
        <v>20</v>
      </c>
      <c r="F821" s="6" t="s">
        <v>9</v>
      </c>
      <c r="G821" s="8">
        <v>67.900000000000006</v>
      </c>
      <c r="H821" s="6"/>
    </row>
    <row r="822" spans="1:8">
      <c r="A822" s="5">
        <v>461</v>
      </c>
      <c r="B822" s="6" t="str">
        <f>"李佳倩"</f>
        <v>李佳倩</v>
      </c>
      <c r="C822" s="6" t="str">
        <f t="shared" si="35"/>
        <v>女</v>
      </c>
      <c r="D822" s="6" t="str">
        <f>"202115011416"</f>
        <v>202115011416</v>
      </c>
      <c r="E822" s="10" t="s">
        <v>20</v>
      </c>
      <c r="F822" s="6" t="s">
        <v>9</v>
      </c>
      <c r="G822" s="8">
        <v>64.849999999999994</v>
      </c>
      <c r="H822" s="6"/>
    </row>
    <row r="823" spans="1:8">
      <c r="A823" s="5">
        <v>580</v>
      </c>
      <c r="B823" s="6" t="str">
        <f>"唐丹"</f>
        <v>唐丹</v>
      </c>
      <c r="C823" s="6" t="str">
        <f t="shared" si="35"/>
        <v>女</v>
      </c>
      <c r="D823" s="6" t="str">
        <f>"202115011417"</f>
        <v>202115011417</v>
      </c>
      <c r="E823" s="10" t="s">
        <v>20</v>
      </c>
      <c r="F823" s="6" t="s">
        <v>9</v>
      </c>
      <c r="G823" s="8">
        <v>58.25</v>
      </c>
      <c r="H823" s="6"/>
    </row>
    <row r="824" spans="1:8">
      <c r="A824" s="5">
        <v>581</v>
      </c>
      <c r="B824" s="6" t="str">
        <f>"蔡莺"</f>
        <v>蔡莺</v>
      </c>
      <c r="C824" s="6" t="str">
        <f t="shared" si="35"/>
        <v>女</v>
      </c>
      <c r="D824" s="6" t="str">
        <f>"202115011418"</f>
        <v>202115011418</v>
      </c>
      <c r="E824" s="10" t="s">
        <v>20</v>
      </c>
      <c r="F824" s="6" t="s">
        <v>9</v>
      </c>
      <c r="G824" s="8">
        <v>46.9</v>
      </c>
      <c r="H824" s="6"/>
    </row>
    <row r="825" spans="1:8">
      <c r="A825" s="5">
        <v>336</v>
      </c>
      <c r="B825" s="6" t="str">
        <f>"崔舒"</f>
        <v>崔舒</v>
      </c>
      <c r="C825" s="6" t="str">
        <f t="shared" si="35"/>
        <v>女</v>
      </c>
      <c r="D825" s="6" t="str">
        <f>"202115011419"</f>
        <v>202115011419</v>
      </c>
      <c r="E825" s="10" t="s">
        <v>20</v>
      </c>
      <c r="F825" s="6" t="s">
        <v>9</v>
      </c>
      <c r="G825" s="8">
        <v>54.55</v>
      </c>
      <c r="H825" s="6"/>
    </row>
    <row r="826" spans="1:8">
      <c r="A826" s="5">
        <v>252</v>
      </c>
      <c r="B826" s="6" t="str">
        <f>"范素素"</f>
        <v>范素素</v>
      </c>
      <c r="C826" s="6" t="str">
        <f t="shared" si="35"/>
        <v>女</v>
      </c>
      <c r="D826" s="6" t="str">
        <f>"202115011420"</f>
        <v>202115011420</v>
      </c>
      <c r="E826" s="10" t="s">
        <v>20</v>
      </c>
      <c r="F826" s="6" t="s">
        <v>9</v>
      </c>
      <c r="G826" s="8">
        <v>0</v>
      </c>
      <c r="H826" s="9">
        <v>1</v>
      </c>
    </row>
    <row r="827" spans="1:8">
      <c r="A827" s="5">
        <v>259</v>
      </c>
      <c r="B827" s="6" t="str">
        <f>"唐云前"</f>
        <v>唐云前</v>
      </c>
      <c r="C827" s="6" t="str">
        <f t="shared" si="35"/>
        <v>女</v>
      </c>
      <c r="D827" s="6" t="str">
        <f>"202115011421"</f>
        <v>202115011421</v>
      </c>
      <c r="E827" s="10" t="s">
        <v>20</v>
      </c>
      <c r="F827" s="6" t="s">
        <v>9</v>
      </c>
      <c r="G827" s="8">
        <v>59.4</v>
      </c>
      <c r="H827" s="6"/>
    </row>
    <row r="828" spans="1:8">
      <c r="A828" s="5">
        <v>241</v>
      </c>
      <c r="B828" s="6" t="str">
        <f>"潘春晓"</f>
        <v>潘春晓</v>
      </c>
      <c r="C828" s="6" t="str">
        <f t="shared" si="35"/>
        <v>女</v>
      </c>
      <c r="D828" s="6" t="str">
        <f>"202115011422"</f>
        <v>202115011422</v>
      </c>
      <c r="E828" s="10" t="s">
        <v>20</v>
      </c>
      <c r="F828" s="6" t="s">
        <v>9</v>
      </c>
      <c r="G828" s="8">
        <v>57.9</v>
      </c>
      <c r="H828" s="6"/>
    </row>
    <row r="829" spans="1:8">
      <c r="A829" s="5">
        <v>424</v>
      </c>
      <c r="B829" s="6" t="str">
        <f>"刘宇婕"</f>
        <v>刘宇婕</v>
      </c>
      <c r="C829" s="6" t="str">
        <f t="shared" si="35"/>
        <v>女</v>
      </c>
      <c r="D829" s="6" t="str">
        <f>"202115011423"</f>
        <v>202115011423</v>
      </c>
      <c r="E829" s="10" t="s">
        <v>20</v>
      </c>
      <c r="F829" s="6" t="s">
        <v>9</v>
      </c>
      <c r="G829" s="8">
        <v>0</v>
      </c>
      <c r="H829" s="9">
        <v>1</v>
      </c>
    </row>
    <row r="830" spans="1:8">
      <c r="A830" s="5">
        <v>382</v>
      </c>
      <c r="B830" s="6" t="str">
        <f>"廖园园"</f>
        <v>廖园园</v>
      </c>
      <c r="C830" s="6" t="str">
        <f t="shared" si="35"/>
        <v>女</v>
      </c>
      <c r="D830" s="6" t="str">
        <f>"202115011424"</f>
        <v>202115011424</v>
      </c>
      <c r="E830" s="10" t="s">
        <v>20</v>
      </c>
      <c r="F830" s="6" t="s">
        <v>9</v>
      </c>
      <c r="G830" s="8">
        <v>54.7</v>
      </c>
      <c r="H830" s="6"/>
    </row>
    <row r="831" spans="1:8">
      <c r="A831" s="5">
        <v>500</v>
      </c>
      <c r="B831" s="6" t="str">
        <f>"朱婷"</f>
        <v>朱婷</v>
      </c>
      <c r="C831" s="6" t="str">
        <f t="shared" si="35"/>
        <v>女</v>
      </c>
      <c r="D831" s="6" t="str">
        <f>"202115011425"</f>
        <v>202115011425</v>
      </c>
      <c r="E831" s="10" t="s">
        <v>20</v>
      </c>
      <c r="F831" s="6" t="s">
        <v>9</v>
      </c>
      <c r="G831" s="8">
        <v>56</v>
      </c>
      <c r="H831" s="6"/>
    </row>
    <row r="832" spans="1:8">
      <c r="A832" s="5">
        <v>572</v>
      </c>
      <c r="B832" s="6" t="str">
        <f>"王丹"</f>
        <v>王丹</v>
      </c>
      <c r="C832" s="6" t="str">
        <f t="shared" si="35"/>
        <v>女</v>
      </c>
      <c r="D832" s="6" t="str">
        <f>"202115011426"</f>
        <v>202115011426</v>
      </c>
      <c r="E832" s="10" t="s">
        <v>20</v>
      </c>
      <c r="F832" s="6" t="s">
        <v>9</v>
      </c>
      <c r="G832" s="8">
        <v>70.55</v>
      </c>
      <c r="H832" s="6"/>
    </row>
    <row r="833" spans="1:8">
      <c r="A833" s="5">
        <v>393</v>
      </c>
      <c r="B833" s="6" t="str">
        <f>"金倩"</f>
        <v>金倩</v>
      </c>
      <c r="C833" s="6" t="str">
        <f t="shared" si="35"/>
        <v>女</v>
      </c>
      <c r="D833" s="6" t="str">
        <f>"202115011427"</f>
        <v>202115011427</v>
      </c>
      <c r="E833" s="10" t="s">
        <v>20</v>
      </c>
      <c r="F833" s="6" t="s">
        <v>9</v>
      </c>
      <c r="G833" s="8">
        <v>0</v>
      </c>
      <c r="H833" s="9">
        <v>1</v>
      </c>
    </row>
    <row r="834" spans="1:8">
      <c r="A834" s="5">
        <v>471</v>
      </c>
      <c r="B834" s="6" t="str">
        <f>"周渴望"</f>
        <v>周渴望</v>
      </c>
      <c r="C834" s="6" t="str">
        <f t="shared" si="35"/>
        <v>女</v>
      </c>
      <c r="D834" s="6" t="str">
        <f>"202115011428"</f>
        <v>202115011428</v>
      </c>
      <c r="E834" s="10" t="s">
        <v>20</v>
      </c>
      <c r="F834" s="6" t="s">
        <v>9</v>
      </c>
      <c r="G834" s="8">
        <v>49.85</v>
      </c>
      <c r="H834" s="6"/>
    </row>
    <row r="835" spans="1:8">
      <c r="A835" s="5">
        <v>222</v>
      </c>
      <c r="B835" s="6" t="str">
        <f>"黄红艳"</f>
        <v>黄红艳</v>
      </c>
      <c r="C835" s="6" t="str">
        <f t="shared" ref="C835:C853" si="36">"女"</f>
        <v>女</v>
      </c>
      <c r="D835" s="6" t="str">
        <f>"202115011429"</f>
        <v>202115011429</v>
      </c>
      <c r="E835" s="10" t="s">
        <v>20</v>
      </c>
      <c r="F835" s="6" t="s">
        <v>9</v>
      </c>
      <c r="G835" s="8">
        <v>0</v>
      </c>
      <c r="H835" s="9">
        <v>1</v>
      </c>
    </row>
    <row r="836" spans="1:8">
      <c r="A836" s="5">
        <v>366</v>
      </c>
      <c r="B836" s="6" t="str">
        <f>"彭霞"</f>
        <v>彭霞</v>
      </c>
      <c r="C836" s="6" t="str">
        <f t="shared" si="36"/>
        <v>女</v>
      </c>
      <c r="D836" s="6" t="str">
        <f>"202115011430"</f>
        <v>202115011430</v>
      </c>
      <c r="E836" s="10" t="s">
        <v>20</v>
      </c>
      <c r="F836" s="6" t="s">
        <v>9</v>
      </c>
      <c r="G836" s="8">
        <v>52.1</v>
      </c>
      <c r="H836" s="6"/>
    </row>
    <row r="837" spans="1:8">
      <c r="A837" s="5">
        <v>659</v>
      </c>
      <c r="B837" s="6" t="str">
        <f>"石丹"</f>
        <v>石丹</v>
      </c>
      <c r="C837" s="6" t="str">
        <f t="shared" si="36"/>
        <v>女</v>
      </c>
      <c r="D837" s="6" t="str">
        <f>"202115011501"</f>
        <v>202115011501</v>
      </c>
      <c r="E837" s="10" t="s">
        <v>20</v>
      </c>
      <c r="F837" s="6" t="s">
        <v>9</v>
      </c>
      <c r="G837" s="8">
        <v>55.6</v>
      </c>
      <c r="H837" s="6"/>
    </row>
    <row r="838" spans="1:8">
      <c r="A838" s="5">
        <v>441</v>
      </c>
      <c r="B838" s="6" t="str">
        <f>"吴海燕"</f>
        <v>吴海燕</v>
      </c>
      <c r="C838" s="6" t="str">
        <f t="shared" si="36"/>
        <v>女</v>
      </c>
      <c r="D838" s="6" t="str">
        <f>"202115011502"</f>
        <v>202115011502</v>
      </c>
      <c r="E838" s="10" t="s">
        <v>20</v>
      </c>
      <c r="F838" s="6" t="s">
        <v>9</v>
      </c>
      <c r="G838" s="8">
        <v>65.150000000000006</v>
      </c>
      <c r="H838" s="6"/>
    </row>
    <row r="839" spans="1:8">
      <c r="A839" s="5">
        <v>666</v>
      </c>
      <c r="B839" s="6" t="str">
        <f>"夏娟"</f>
        <v>夏娟</v>
      </c>
      <c r="C839" s="6" t="str">
        <f t="shared" si="36"/>
        <v>女</v>
      </c>
      <c r="D839" s="6" t="str">
        <f>"202115011503"</f>
        <v>202115011503</v>
      </c>
      <c r="E839" s="10" t="s">
        <v>20</v>
      </c>
      <c r="F839" s="6" t="s">
        <v>9</v>
      </c>
      <c r="G839" s="8">
        <v>64.8</v>
      </c>
      <c r="H839" s="6"/>
    </row>
    <row r="840" spans="1:8">
      <c r="A840" s="5">
        <v>221</v>
      </c>
      <c r="B840" s="6" t="str">
        <f>"王一媚"</f>
        <v>王一媚</v>
      </c>
      <c r="C840" s="6" t="str">
        <f t="shared" si="36"/>
        <v>女</v>
      </c>
      <c r="D840" s="6" t="str">
        <f>"202115011504"</f>
        <v>202115011504</v>
      </c>
      <c r="E840" s="10" t="s">
        <v>20</v>
      </c>
      <c r="F840" s="6" t="s">
        <v>9</v>
      </c>
      <c r="G840" s="8">
        <v>0</v>
      </c>
      <c r="H840" s="9">
        <v>1</v>
      </c>
    </row>
    <row r="841" spans="1:8">
      <c r="A841" s="5">
        <v>390</v>
      </c>
      <c r="B841" s="6" t="str">
        <f>"黄玮鑫"</f>
        <v>黄玮鑫</v>
      </c>
      <c r="C841" s="6" t="str">
        <f t="shared" si="36"/>
        <v>女</v>
      </c>
      <c r="D841" s="6" t="str">
        <f>"202115011505"</f>
        <v>202115011505</v>
      </c>
      <c r="E841" s="10" t="s">
        <v>20</v>
      </c>
      <c r="F841" s="6" t="s">
        <v>9</v>
      </c>
      <c r="G841" s="8">
        <v>54.95</v>
      </c>
      <c r="H841" s="6"/>
    </row>
    <row r="842" spans="1:8">
      <c r="A842" s="5">
        <v>397</v>
      </c>
      <c r="B842" s="6" t="str">
        <f>"唐丹希"</f>
        <v>唐丹希</v>
      </c>
      <c r="C842" s="6" t="str">
        <f t="shared" si="36"/>
        <v>女</v>
      </c>
      <c r="D842" s="6" t="str">
        <f>"202115011506"</f>
        <v>202115011506</v>
      </c>
      <c r="E842" s="10" t="s">
        <v>20</v>
      </c>
      <c r="F842" s="6" t="s">
        <v>9</v>
      </c>
      <c r="G842" s="8">
        <v>58.8</v>
      </c>
      <c r="H842" s="6"/>
    </row>
    <row r="843" spans="1:8">
      <c r="A843" s="5">
        <v>589</v>
      </c>
      <c r="B843" s="6" t="str">
        <f>"曾巧玲"</f>
        <v>曾巧玲</v>
      </c>
      <c r="C843" s="6" t="str">
        <f t="shared" si="36"/>
        <v>女</v>
      </c>
      <c r="D843" s="6" t="str">
        <f>"202115011507"</f>
        <v>202115011507</v>
      </c>
      <c r="E843" s="10" t="s">
        <v>20</v>
      </c>
      <c r="F843" s="6" t="s">
        <v>9</v>
      </c>
      <c r="G843" s="8">
        <v>56.4</v>
      </c>
      <c r="H843" s="6"/>
    </row>
    <row r="844" spans="1:8">
      <c r="A844" s="5">
        <v>552</v>
      </c>
      <c r="B844" s="6" t="str">
        <f>"黄松文"</f>
        <v>黄松文</v>
      </c>
      <c r="C844" s="6" t="str">
        <f t="shared" si="36"/>
        <v>女</v>
      </c>
      <c r="D844" s="6" t="str">
        <f>"202115011508"</f>
        <v>202115011508</v>
      </c>
      <c r="E844" s="10" t="s">
        <v>20</v>
      </c>
      <c r="F844" s="6" t="s">
        <v>9</v>
      </c>
      <c r="G844" s="8">
        <v>48.7</v>
      </c>
      <c r="H844" s="6"/>
    </row>
    <row r="845" spans="1:8">
      <c r="A845" s="5">
        <v>535</v>
      </c>
      <c r="B845" s="6" t="str">
        <f>"曾树婷"</f>
        <v>曾树婷</v>
      </c>
      <c r="C845" s="6" t="str">
        <f t="shared" si="36"/>
        <v>女</v>
      </c>
      <c r="D845" s="6" t="str">
        <f>"202115011509"</f>
        <v>202115011509</v>
      </c>
      <c r="E845" s="10" t="s">
        <v>20</v>
      </c>
      <c r="F845" s="6" t="s">
        <v>9</v>
      </c>
      <c r="G845" s="8">
        <v>58.85</v>
      </c>
      <c r="H845" s="6"/>
    </row>
    <row r="846" spans="1:8">
      <c r="A846" s="5">
        <v>670</v>
      </c>
      <c r="B846" s="6" t="str">
        <f>"王思思"</f>
        <v>王思思</v>
      </c>
      <c r="C846" s="6" t="str">
        <f t="shared" si="36"/>
        <v>女</v>
      </c>
      <c r="D846" s="6" t="str">
        <f>"202115011510"</f>
        <v>202115011510</v>
      </c>
      <c r="E846" s="10" t="s">
        <v>20</v>
      </c>
      <c r="F846" s="6" t="s">
        <v>9</v>
      </c>
      <c r="G846" s="8">
        <v>56.7</v>
      </c>
      <c r="H846" s="6"/>
    </row>
    <row r="847" spans="1:8">
      <c r="A847" s="5">
        <v>402</v>
      </c>
      <c r="B847" s="6" t="str">
        <f>"王贞人"</f>
        <v>王贞人</v>
      </c>
      <c r="C847" s="6" t="str">
        <f t="shared" si="36"/>
        <v>女</v>
      </c>
      <c r="D847" s="6" t="str">
        <f>"202115011511"</f>
        <v>202115011511</v>
      </c>
      <c r="E847" s="10" t="s">
        <v>20</v>
      </c>
      <c r="F847" s="6" t="s">
        <v>9</v>
      </c>
      <c r="G847" s="8">
        <v>56.6</v>
      </c>
      <c r="H847" s="6"/>
    </row>
    <row r="848" spans="1:8">
      <c r="A848" s="5">
        <v>361</v>
      </c>
      <c r="B848" s="6" t="str">
        <f>"戴利"</f>
        <v>戴利</v>
      </c>
      <c r="C848" s="6" t="str">
        <f t="shared" si="36"/>
        <v>女</v>
      </c>
      <c r="D848" s="6" t="str">
        <f>"202115011512"</f>
        <v>202115011512</v>
      </c>
      <c r="E848" s="10" t="s">
        <v>20</v>
      </c>
      <c r="F848" s="6" t="s">
        <v>9</v>
      </c>
      <c r="G848" s="8">
        <v>46.2</v>
      </c>
      <c r="H848" s="6"/>
    </row>
    <row r="849" spans="1:8">
      <c r="A849" s="5">
        <v>439</v>
      </c>
      <c r="B849" s="6" t="str">
        <f>"李佳妮"</f>
        <v>李佳妮</v>
      </c>
      <c r="C849" s="6" t="str">
        <f t="shared" si="36"/>
        <v>女</v>
      </c>
      <c r="D849" s="6" t="str">
        <f>"202115011513"</f>
        <v>202115011513</v>
      </c>
      <c r="E849" s="10" t="s">
        <v>20</v>
      </c>
      <c r="F849" s="6" t="s">
        <v>9</v>
      </c>
      <c r="G849" s="8">
        <v>0</v>
      </c>
      <c r="H849" s="9">
        <v>1</v>
      </c>
    </row>
    <row r="850" spans="1:8">
      <c r="A850" s="5">
        <v>228</v>
      </c>
      <c r="B850" s="6" t="str">
        <f>"张校"</f>
        <v>张校</v>
      </c>
      <c r="C850" s="6" t="str">
        <f t="shared" si="36"/>
        <v>女</v>
      </c>
      <c r="D850" s="6" t="str">
        <f>"202115011514"</f>
        <v>202115011514</v>
      </c>
      <c r="E850" s="10" t="s">
        <v>20</v>
      </c>
      <c r="F850" s="6" t="s">
        <v>9</v>
      </c>
      <c r="G850" s="8">
        <v>0</v>
      </c>
      <c r="H850" s="9">
        <v>1</v>
      </c>
    </row>
    <row r="851" spans="1:8">
      <c r="A851" s="5">
        <v>448</v>
      </c>
      <c r="B851" s="6" t="str">
        <f>"贺信"</f>
        <v>贺信</v>
      </c>
      <c r="C851" s="6" t="str">
        <f t="shared" si="36"/>
        <v>女</v>
      </c>
      <c r="D851" s="6" t="str">
        <f>"202115011515"</f>
        <v>202115011515</v>
      </c>
      <c r="E851" s="10" t="s">
        <v>20</v>
      </c>
      <c r="F851" s="6" t="s">
        <v>9</v>
      </c>
      <c r="G851" s="8">
        <v>62.8</v>
      </c>
      <c r="H851" s="6"/>
    </row>
    <row r="852" spans="1:8">
      <c r="A852" s="5">
        <v>360</v>
      </c>
      <c r="B852" s="6" t="str">
        <f>"王怡婷"</f>
        <v>王怡婷</v>
      </c>
      <c r="C852" s="6" t="str">
        <f t="shared" si="36"/>
        <v>女</v>
      </c>
      <c r="D852" s="6" t="str">
        <f>"202115011516"</f>
        <v>202115011516</v>
      </c>
      <c r="E852" s="10" t="s">
        <v>20</v>
      </c>
      <c r="F852" s="6" t="s">
        <v>9</v>
      </c>
      <c r="G852" s="8">
        <v>57.4</v>
      </c>
      <c r="H852" s="6"/>
    </row>
    <row r="853" spans="1:8">
      <c r="A853" s="5">
        <v>637</v>
      </c>
      <c r="B853" s="6" t="str">
        <f>"保蓉玲"</f>
        <v>保蓉玲</v>
      </c>
      <c r="C853" s="6" t="str">
        <f t="shared" si="36"/>
        <v>女</v>
      </c>
      <c r="D853" s="6" t="str">
        <f>"202115011517"</f>
        <v>202115011517</v>
      </c>
      <c r="E853" s="10" t="s">
        <v>20</v>
      </c>
      <c r="F853" s="6" t="s">
        <v>9</v>
      </c>
      <c r="G853" s="8">
        <v>68.849999999999994</v>
      </c>
      <c r="H853" s="6"/>
    </row>
    <row r="854" spans="1:8">
      <c r="A854" s="5">
        <v>549</v>
      </c>
      <c r="B854" s="6" t="str">
        <f>"周炅炅"</f>
        <v>周炅炅</v>
      </c>
      <c r="C854" s="6" t="str">
        <f>"男"</f>
        <v>男</v>
      </c>
      <c r="D854" s="6" t="str">
        <f>"202115011518"</f>
        <v>202115011518</v>
      </c>
      <c r="E854" s="10" t="s">
        <v>20</v>
      </c>
      <c r="F854" s="6" t="s">
        <v>9</v>
      </c>
      <c r="G854" s="8">
        <v>66.95</v>
      </c>
      <c r="H854" s="6"/>
    </row>
    <row r="855" spans="1:8">
      <c r="A855" s="5">
        <v>253</v>
      </c>
      <c r="B855" s="6" t="str">
        <f>"肖美华"</f>
        <v>肖美华</v>
      </c>
      <c r="C855" s="6" t="str">
        <f t="shared" ref="C855:C869" si="37">"女"</f>
        <v>女</v>
      </c>
      <c r="D855" s="6" t="str">
        <f>"202115011519"</f>
        <v>202115011519</v>
      </c>
      <c r="E855" s="10" t="s">
        <v>20</v>
      </c>
      <c r="F855" s="6" t="s">
        <v>9</v>
      </c>
      <c r="G855" s="8">
        <v>68.849999999999994</v>
      </c>
      <c r="H855" s="6"/>
    </row>
    <row r="856" spans="1:8">
      <c r="A856" s="5">
        <v>483</v>
      </c>
      <c r="B856" s="6" t="str">
        <f>"吴芝妮"</f>
        <v>吴芝妮</v>
      </c>
      <c r="C856" s="6" t="str">
        <f t="shared" si="37"/>
        <v>女</v>
      </c>
      <c r="D856" s="6" t="str">
        <f>"202115011520"</f>
        <v>202115011520</v>
      </c>
      <c r="E856" s="10" t="s">
        <v>20</v>
      </c>
      <c r="F856" s="6" t="s">
        <v>9</v>
      </c>
      <c r="G856" s="8">
        <v>56.7</v>
      </c>
      <c r="H856" s="6"/>
    </row>
    <row r="857" spans="1:8">
      <c r="A857" s="5">
        <v>663</v>
      </c>
      <c r="B857" s="6" t="str">
        <f>"李艳"</f>
        <v>李艳</v>
      </c>
      <c r="C857" s="6" t="str">
        <f t="shared" si="37"/>
        <v>女</v>
      </c>
      <c r="D857" s="6" t="str">
        <f>"202115011521"</f>
        <v>202115011521</v>
      </c>
      <c r="E857" s="10" t="s">
        <v>20</v>
      </c>
      <c r="F857" s="6" t="s">
        <v>9</v>
      </c>
      <c r="G857" s="8">
        <v>54</v>
      </c>
      <c r="H857" s="6"/>
    </row>
    <row r="858" spans="1:8">
      <c r="A858" s="5">
        <v>410</v>
      </c>
      <c r="B858" s="6" t="str">
        <f>"何佳玲"</f>
        <v>何佳玲</v>
      </c>
      <c r="C858" s="6" t="str">
        <f t="shared" si="37"/>
        <v>女</v>
      </c>
      <c r="D858" s="6" t="str">
        <f>"202115011522"</f>
        <v>202115011522</v>
      </c>
      <c r="E858" s="10" t="s">
        <v>20</v>
      </c>
      <c r="F858" s="6" t="s">
        <v>9</v>
      </c>
      <c r="G858" s="8">
        <v>0</v>
      </c>
      <c r="H858" s="9">
        <v>1</v>
      </c>
    </row>
    <row r="859" spans="1:8">
      <c r="A859" s="5">
        <v>262</v>
      </c>
      <c r="B859" s="6" t="str">
        <f>"夏非凡"</f>
        <v>夏非凡</v>
      </c>
      <c r="C859" s="6" t="str">
        <f t="shared" si="37"/>
        <v>女</v>
      </c>
      <c r="D859" s="6" t="str">
        <f>"202115011523"</f>
        <v>202115011523</v>
      </c>
      <c r="E859" s="10" t="s">
        <v>20</v>
      </c>
      <c r="F859" s="6" t="s">
        <v>9</v>
      </c>
      <c r="G859" s="8">
        <v>62.05</v>
      </c>
      <c r="H859" s="6"/>
    </row>
    <row r="860" spans="1:8">
      <c r="A860" s="5">
        <v>620</v>
      </c>
      <c r="B860" s="6" t="str">
        <f>"石思"</f>
        <v>石思</v>
      </c>
      <c r="C860" s="6" t="str">
        <f t="shared" si="37"/>
        <v>女</v>
      </c>
      <c r="D860" s="6" t="str">
        <f>"202115011524"</f>
        <v>202115011524</v>
      </c>
      <c r="E860" s="10" t="s">
        <v>20</v>
      </c>
      <c r="F860" s="6" t="s">
        <v>9</v>
      </c>
      <c r="G860" s="8">
        <v>52.35</v>
      </c>
      <c r="H860" s="6"/>
    </row>
    <row r="861" spans="1:8">
      <c r="A861" s="5">
        <v>590</v>
      </c>
      <c r="B861" s="6" t="str">
        <f>"夏群"</f>
        <v>夏群</v>
      </c>
      <c r="C861" s="6" t="str">
        <f t="shared" si="37"/>
        <v>女</v>
      </c>
      <c r="D861" s="6" t="str">
        <f>"202115011525"</f>
        <v>202115011525</v>
      </c>
      <c r="E861" s="10" t="s">
        <v>20</v>
      </c>
      <c r="F861" s="6" t="s">
        <v>9</v>
      </c>
      <c r="G861" s="8">
        <v>62.65</v>
      </c>
      <c r="H861" s="6"/>
    </row>
    <row r="862" spans="1:8">
      <c r="A862" s="5">
        <v>423</v>
      </c>
      <c r="B862" s="6" t="str">
        <f>"王利娜"</f>
        <v>王利娜</v>
      </c>
      <c r="C862" s="6" t="str">
        <f t="shared" si="37"/>
        <v>女</v>
      </c>
      <c r="D862" s="6" t="str">
        <f>"202115011526"</f>
        <v>202115011526</v>
      </c>
      <c r="E862" s="10" t="s">
        <v>20</v>
      </c>
      <c r="F862" s="6" t="s">
        <v>9</v>
      </c>
      <c r="G862" s="8">
        <v>67</v>
      </c>
      <c r="H862" s="6"/>
    </row>
    <row r="863" spans="1:8">
      <c r="A863" s="5">
        <v>671</v>
      </c>
      <c r="B863" s="6" t="str">
        <f>"杨永云"</f>
        <v>杨永云</v>
      </c>
      <c r="C863" s="6" t="str">
        <f t="shared" si="37"/>
        <v>女</v>
      </c>
      <c r="D863" s="6" t="str">
        <f>"202115011527"</f>
        <v>202115011527</v>
      </c>
      <c r="E863" s="10" t="s">
        <v>20</v>
      </c>
      <c r="F863" s="6" t="s">
        <v>9</v>
      </c>
      <c r="G863" s="8">
        <v>58.65</v>
      </c>
      <c r="H863" s="6"/>
    </row>
    <row r="864" spans="1:8">
      <c r="A864" s="5">
        <v>428</v>
      </c>
      <c r="B864" s="6" t="str">
        <f>"尹秋华"</f>
        <v>尹秋华</v>
      </c>
      <c r="C864" s="6" t="str">
        <f t="shared" si="37"/>
        <v>女</v>
      </c>
      <c r="D864" s="6" t="str">
        <f>"202115011528"</f>
        <v>202115011528</v>
      </c>
      <c r="E864" s="10" t="s">
        <v>20</v>
      </c>
      <c r="F864" s="6" t="s">
        <v>9</v>
      </c>
      <c r="G864" s="8">
        <v>56.1</v>
      </c>
      <c r="H864" s="6"/>
    </row>
    <row r="865" spans="1:8">
      <c r="A865" s="5">
        <v>655</v>
      </c>
      <c r="B865" s="6" t="str">
        <f>"黄晓青"</f>
        <v>黄晓青</v>
      </c>
      <c r="C865" s="6" t="str">
        <f t="shared" si="37"/>
        <v>女</v>
      </c>
      <c r="D865" s="6" t="str">
        <f>"202115011529"</f>
        <v>202115011529</v>
      </c>
      <c r="E865" s="10" t="s">
        <v>20</v>
      </c>
      <c r="F865" s="6" t="s">
        <v>9</v>
      </c>
      <c r="G865" s="8">
        <v>64.2</v>
      </c>
      <c r="H865" s="6"/>
    </row>
    <row r="866" spans="1:8">
      <c r="A866" s="5">
        <v>370</v>
      </c>
      <c r="B866" s="6" t="str">
        <f>"李瑟霞"</f>
        <v>李瑟霞</v>
      </c>
      <c r="C866" s="6" t="str">
        <f t="shared" si="37"/>
        <v>女</v>
      </c>
      <c r="D866" s="6" t="str">
        <f>"202115011530"</f>
        <v>202115011530</v>
      </c>
      <c r="E866" s="10" t="s">
        <v>20</v>
      </c>
      <c r="F866" s="6" t="s">
        <v>9</v>
      </c>
      <c r="G866" s="8">
        <v>0</v>
      </c>
      <c r="H866" s="9">
        <v>1</v>
      </c>
    </row>
    <row r="867" spans="1:8">
      <c r="A867" s="5">
        <v>420</v>
      </c>
      <c r="B867" s="6" t="str">
        <f>"杨晶"</f>
        <v>杨晶</v>
      </c>
      <c r="C867" s="6" t="str">
        <f t="shared" si="37"/>
        <v>女</v>
      </c>
      <c r="D867" s="6" t="str">
        <f>"202115011601"</f>
        <v>202115011601</v>
      </c>
      <c r="E867" s="10" t="s">
        <v>20</v>
      </c>
      <c r="F867" s="6" t="s">
        <v>9</v>
      </c>
      <c r="G867" s="8">
        <v>49.2</v>
      </c>
      <c r="H867" s="6"/>
    </row>
    <row r="868" spans="1:8">
      <c r="A868" s="5">
        <v>413</v>
      </c>
      <c r="B868" s="6" t="str">
        <f>"女"</f>
        <v>女</v>
      </c>
      <c r="C868" s="6" t="str">
        <f t="shared" si="37"/>
        <v>女</v>
      </c>
      <c r="D868" s="6" t="str">
        <f>"202115011602"</f>
        <v>202115011602</v>
      </c>
      <c r="E868" s="10" t="s">
        <v>20</v>
      </c>
      <c r="F868" s="6" t="s">
        <v>9</v>
      </c>
      <c r="G868" s="8">
        <v>0</v>
      </c>
      <c r="H868" s="9">
        <v>2</v>
      </c>
    </row>
    <row r="869" spans="1:8">
      <c r="A869" s="5">
        <v>407</v>
      </c>
      <c r="B869" s="6" t="str">
        <f>"肖洁"</f>
        <v>肖洁</v>
      </c>
      <c r="C869" s="6" t="str">
        <f t="shared" si="37"/>
        <v>女</v>
      </c>
      <c r="D869" s="6" t="str">
        <f>"202115011603"</f>
        <v>202115011603</v>
      </c>
      <c r="E869" s="10" t="s">
        <v>20</v>
      </c>
      <c r="F869" s="6" t="s">
        <v>9</v>
      </c>
      <c r="G869" s="8">
        <v>69.45</v>
      </c>
      <c r="H869" s="6"/>
    </row>
    <row r="870" spans="1:8">
      <c r="A870" s="5">
        <v>276</v>
      </c>
      <c r="B870" s="6" t="str">
        <f>"张磊"</f>
        <v>张磊</v>
      </c>
      <c r="C870" s="6" t="str">
        <f>"男"</f>
        <v>男</v>
      </c>
      <c r="D870" s="6" t="str">
        <f>"202115011604"</f>
        <v>202115011604</v>
      </c>
      <c r="E870" s="10" t="s">
        <v>20</v>
      </c>
      <c r="F870" s="6" t="s">
        <v>9</v>
      </c>
      <c r="G870" s="8">
        <v>67.2</v>
      </c>
      <c r="H870" s="6"/>
    </row>
    <row r="871" spans="1:8">
      <c r="A871" s="5">
        <v>430</v>
      </c>
      <c r="B871" s="6" t="str">
        <f>"鄢芯蓉"</f>
        <v>鄢芯蓉</v>
      </c>
      <c r="C871" s="6" t="str">
        <f t="shared" ref="C871:C889" si="38">"女"</f>
        <v>女</v>
      </c>
      <c r="D871" s="6" t="str">
        <f>"202115011605"</f>
        <v>202115011605</v>
      </c>
      <c r="E871" s="10" t="s">
        <v>20</v>
      </c>
      <c r="F871" s="6" t="s">
        <v>9</v>
      </c>
      <c r="G871" s="8">
        <v>68.599999999999994</v>
      </c>
      <c r="H871" s="6"/>
    </row>
    <row r="872" spans="1:8">
      <c r="A872" s="5">
        <v>229</v>
      </c>
      <c r="B872" s="6" t="str">
        <f>"任凯丽"</f>
        <v>任凯丽</v>
      </c>
      <c r="C872" s="6" t="str">
        <f t="shared" si="38"/>
        <v>女</v>
      </c>
      <c r="D872" s="6" t="str">
        <f>"202115011606"</f>
        <v>202115011606</v>
      </c>
      <c r="E872" s="10" t="s">
        <v>20</v>
      </c>
      <c r="F872" s="6" t="s">
        <v>9</v>
      </c>
      <c r="G872" s="8">
        <v>65.5</v>
      </c>
      <c r="H872" s="6"/>
    </row>
    <row r="873" spans="1:8">
      <c r="A873" s="5">
        <v>308</v>
      </c>
      <c r="B873" s="6" t="str">
        <f>"马燕娟"</f>
        <v>马燕娟</v>
      </c>
      <c r="C873" s="6" t="str">
        <f t="shared" si="38"/>
        <v>女</v>
      </c>
      <c r="D873" s="6" t="str">
        <f>"202115011607"</f>
        <v>202115011607</v>
      </c>
      <c r="E873" s="10" t="s">
        <v>20</v>
      </c>
      <c r="F873" s="6" t="s">
        <v>9</v>
      </c>
      <c r="G873" s="8">
        <v>61.15</v>
      </c>
      <c r="H873" s="6"/>
    </row>
    <row r="874" spans="1:8">
      <c r="A874" s="5">
        <v>292</v>
      </c>
      <c r="B874" s="6" t="str">
        <f>"戴冬雪"</f>
        <v>戴冬雪</v>
      </c>
      <c r="C874" s="6" t="str">
        <f t="shared" si="38"/>
        <v>女</v>
      </c>
      <c r="D874" s="6" t="str">
        <f>"202115011608"</f>
        <v>202115011608</v>
      </c>
      <c r="E874" s="10" t="s">
        <v>20</v>
      </c>
      <c r="F874" s="6" t="s">
        <v>9</v>
      </c>
      <c r="G874" s="8">
        <v>49.65</v>
      </c>
      <c r="H874" s="6"/>
    </row>
    <row r="875" spans="1:8">
      <c r="A875" s="5">
        <v>612</v>
      </c>
      <c r="B875" s="6" t="str">
        <f>"李钰"</f>
        <v>李钰</v>
      </c>
      <c r="C875" s="6" t="str">
        <f t="shared" si="38"/>
        <v>女</v>
      </c>
      <c r="D875" s="6" t="str">
        <f>"202115011609"</f>
        <v>202115011609</v>
      </c>
      <c r="E875" s="10" t="s">
        <v>20</v>
      </c>
      <c r="F875" s="6" t="s">
        <v>9</v>
      </c>
      <c r="G875" s="8">
        <v>57.2</v>
      </c>
      <c r="H875" s="6"/>
    </row>
    <row r="876" spans="1:8">
      <c r="A876" s="5">
        <v>389</v>
      </c>
      <c r="B876" s="6" t="str">
        <f>"廖静"</f>
        <v>廖静</v>
      </c>
      <c r="C876" s="6" t="str">
        <f t="shared" si="38"/>
        <v>女</v>
      </c>
      <c r="D876" s="6" t="str">
        <f>"202115011610"</f>
        <v>202115011610</v>
      </c>
      <c r="E876" s="10" t="s">
        <v>20</v>
      </c>
      <c r="F876" s="6" t="s">
        <v>9</v>
      </c>
      <c r="G876" s="8">
        <v>55.5</v>
      </c>
      <c r="H876" s="6"/>
    </row>
    <row r="877" spans="1:8">
      <c r="A877" s="5">
        <v>391</v>
      </c>
      <c r="B877" s="6" t="str">
        <f>"戴琦"</f>
        <v>戴琦</v>
      </c>
      <c r="C877" s="6" t="str">
        <f t="shared" si="38"/>
        <v>女</v>
      </c>
      <c r="D877" s="6" t="str">
        <f>"202115011611"</f>
        <v>202115011611</v>
      </c>
      <c r="E877" s="10" t="s">
        <v>20</v>
      </c>
      <c r="F877" s="6" t="s">
        <v>9</v>
      </c>
      <c r="G877" s="8">
        <v>52.4</v>
      </c>
      <c r="H877" s="6"/>
    </row>
    <row r="878" spans="1:8">
      <c r="A878" s="5">
        <v>675</v>
      </c>
      <c r="B878" s="6" t="str">
        <f>"付婕"</f>
        <v>付婕</v>
      </c>
      <c r="C878" s="6" t="str">
        <f t="shared" si="38"/>
        <v>女</v>
      </c>
      <c r="D878" s="6" t="str">
        <f>"202115011612"</f>
        <v>202115011612</v>
      </c>
      <c r="E878" s="10" t="s">
        <v>20</v>
      </c>
      <c r="F878" s="6" t="s">
        <v>9</v>
      </c>
      <c r="G878" s="8">
        <v>55</v>
      </c>
      <c r="H878" s="6"/>
    </row>
    <row r="879" spans="1:8">
      <c r="A879" s="5">
        <v>683</v>
      </c>
      <c r="B879" s="6" t="str">
        <f>"冒佳慧"</f>
        <v>冒佳慧</v>
      </c>
      <c r="C879" s="6" t="str">
        <f t="shared" si="38"/>
        <v>女</v>
      </c>
      <c r="D879" s="6" t="str">
        <f>"202116011613"</f>
        <v>202116011613</v>
      </c>
      <c r="E879" s="10" t="s">
        <v>20</v>
      </c>
      <c r="F879" s="6" t="s">
        <v>10</v>
      </c>
      <c r="G879" s="8">
        <v>0</v>
      </c>
      <c r="H879" s="9">
        <v>1</v>
      </c>
    </row>
    <row r="880" spans="1:8">
      <c r="A880" s="5">
        <v>814</v>
      </c>
      <c r="B880" s="6" t="str">
        <f>"陈帆"</f>
        <v>陈帆</v>
      </c>
      <c r="C880" s="6" t="str">
        <f t="shared" si="38"/>
        <v>女</v>
      </c>
      <c r="D880" s="6" t="str">
        <f>"202116011614"</f>
        <v>202116011614</v>
      </c>
      <c r="E880" s="10" t="s">
        <v>20</v>
      </c>
      <c r="F880" s="6" t="s">
        <v>10</v>
      </c>
      <c r="G880" s="8">
        <v>50.65</v>
      </c>
      <c r="H880" s="6"/>
    </row>
    <row r="881" spans="1:8">
      <c r="A881" s="5">
        <v>828</v>
      </c>
      <c r="B881" s="6" t="str">
        <f>"邓颖珍"</f>
        <v>邓颖珍</v>
      </c>
      <c r="C881" s="6" t="str">
        <f t="shared" si="38"/>
        <v>女</v>
      </c>
      <c r="D881" s="6" t="str">
        <f>"202116011615"</f>
        <v>202116011615</v>
      </c>
      <c r="E881" s="10" t="s">
        <v>20</v>
      </c>
      <c r="F881" s="6" t="s">
        <v>10</v>
      </c>
      <c r="G881" s="8">
        <v>61.4</v>
      </c>
      <c r="H881" s="6"/>
    </row>
    <row r="882" spans="1:8">
      <c r="A882" s="5">
        <v>840</v>
      </c>
      <c r="B882" s="6" t="str">
        <f>"石雨轩"</f>
        <v>石雨轩</v>
      </c>
      <c r="C882" s="6" t="str">
        <f t="shared" si="38"/>
        <v>女</v>
      </c>
      <c r="D882" s="6" t="str">
        <f>"202116011616"</f>
        <v>202116011616</v>
      </c>
      <c r="E882" s="10" t="s">
        <v>20</v>
      </c>
      <c r="F882" s="6" t="s">
        <v>10</v>
      </c>
      <c r="G882" s="8">
        <v>47.2</v>
      </c>
      <c r="H882" s="6"/>
    </row>
    <row r="883" spans="1:8">
      <c r="A883" s="5">
        <v>729</v>
      </c>
      <c r="B883" s="6" t="str">
        <f>"杨燕"</f>
        <v>杨燕</v>
      </c>
      <c r="C883" s="6" t="str">
        <f t="shared" si="38"/>
        <v>女</v>
      </c>
      <c r="D883" s="6" t="str">
        <f>"202116011617"</f>
        <v>202116011617</v>
      </c>
      <c r="E883" s="10" t="s">
        <v>20</v>
      </c>
      <c r="F883" s="6" t="s">
        <v>10</v>
      </c>
      <c r="G883" s="8">
        <v>55.2</v>
      </c>
      <c r="H883" s="6"/>
    </row>
    <row r="884" spans="1:8">
      <c r="A884" s="5">
        <v>850</v>
      </c>
      <c r="B884" s="6" t="str">
        <f>"刘洁"</f>
        <v>刘洁</v>
      </c>
      <c r="C884" s="6" t="str">
        <f t="shared" si="38"/>
        <v>女</v>
      </c>
      <c r="D884" s="6" t="str">
        <f>"202116011618"</f>
        <v>202116011618</v>
      </c>
      <c r="E884" s="10" t="s">
        <v>20</v>
      </c>
      <c r="F884" s="6" t="s">
        <v>10</v>
      </c>
      <c r="G884" s="8">
        <v>58.65</v>
      </c>
      <c r="H884" s="6"/>
    </row>
    <row r="885" spans="1:8">
      <c r="A885" s="5">
        <v>836</v>
      </c>
      <c r="B885" s="6" t="str">
        <f>"wcy"</f>
        <v>wcy</v>
      </c>
      <c r="C885" s="6" t="str">
        <f t="shared" si="38"/>
        <v>女</v>
      </c>
      <c r="D885" s="6" t="str">
        <f>"202116011619"</f>
        <v>202116011619</v>
      </c>
      <c r="E885" s="10" t="s">
        <v>20</v>
      </c>
      <c r="F885" s="6" t="s">
        <v>10</v>
      </c>
      <c r="G885" s="8">
        <v>0</v>
      </c>
      <c r="H885" s="9">
        <v>2</v>
      </c>
    </row>
    <row r="886" spans="1:8">
      <c r="A886" s="5">
        <v>717</v>
      </c>
      <c r="B886" s="6" t="str">
        <f>"蒋林枝"</f>
        <v>蒋林枝</v>
      </c>
      <c r="C886" s="6" t="str">
        <f t="shared" si="38"/>
        <v>女</v>
      </c>
      <c r="D886" s="6" t="str">
        <f>"202116011620"</f>
        <v>202116011620</v>
      </c>
      <c r="E886" s="10" t="s">
        <v>20</v>
      </c>
      <c r="F886" s="6" t="s">
        <v>10</v>
      </c>
      <c r="G886" s="8">
        <v>48.65</v>
      </c>
      <c r="H886" s="6"/>
    </row>
    <row r="887" spans="1:8">
      <c r="A887" s="5">
        <v>690</v>
      </c>
      <c r="B887" s="6" t="str">
        <f>"陈培琳"</f>
        <v>陈培琳</v>
      </c>
      <c r="C887" s="6" t="str">
        <f t="shared" si="38"/>
        <v>女</v>
      </c>
      <c r="D887" s="6" t="str">
        <f>"202116011621"</f>
        <v>202116011621</v>
      </c>
      <c r="E887" s="10" t="s">
        <v>20</v>
      </c>
      <c r="F887" s="6" t="s">
        <v>10</v>
      </c>
      <c r="G887" s="8">
        <v>0</v>
      </c>
      <c r="H887" s="9">
        <v>1</v>
      </c>
    </row>
    <row r="888" spans="1:8">
      <c r="A888" s="5">
        <v>848</v>
      </c>
      <c r="B888" s="6" t="str">
        <f>"肖璇"</f>
        <v>肖璇</v>
      </c>
      <c r="C888" s="6" t="str">
        <f t="shared" si="38"/>
        <v>女</v>
      </c>
      <c r="D888" s="6" t="str">
        <f>"202116011622"</f>
        <v>202116011622</v>
      </c>
      <c r="E888" s="10" t="s">
        <v>20</v>
      </c>
      <c r="F888" s="6" t="s">
        <v>10</v>
      </c>
      <c r="G888" s="8">
        <v>53.6</v>
      </c>
      <c r="H888" s="6"/>
    </row>
    <row r="889" spans="1:8">
      <c r="A889" s="5">
        <v>805</v>
      </c>
      <c r="B889" s="6" t="str">
        <f>"罗玉晴"</f>
        <v>罗玉晴</v>
      </c>
      <c r="C889" s="6" t="str">
        <f t="shared" si="38"/>
        <v>女</v>
      </c>
      <c r="D889" s="6" t="str">
        <f>"202116011623"</f>
        <v>202116011623</v>
      </c>
      <c r="E889" s="10" t="s">
        <v>20</v>
      </c>
      <c r="F889" s="6" t="s">
        <v>10</v>
      </c>
      <c r="G889" s="8">
        <v>68.849999999999994</v>
      </c>
      <c r="H889" s="6"/>
    </row>
    <row r="890" spans="1:8">
      <c r="A890" s="5">
        <v>797</v>
      </c>
      <c r="B890" s="6" t="str">
        <f>"陈隆"</f>
        <v>陈隆</v>
      </c>
      <c r="C890" s="6" t="str">
        <f>"男"</f>
        <v>男</v>
      </c>
      <c r="D890" s="6" t="str">
        <f>"202116011624"</f>
        <v>202116011624</v>
      </c>
      <c r="E890" s="10" t="s">
        <v>20</v>
      </c>
      <c r="F890" s="6" t="s">
        <v>10</v>
      </c>
      <c r="G890" s="8">
        <v>46.65</v>
      </c>
      <c r="H890" s="6"/>
    </row>
    <row r="891" spans="1:8">
      <c r="A891" s="5">
        <v>693</v>
      </c>
      <c r="B891" s="6" t="str">
        <f>"张盼"</f>
        <v>张盼</v>
      </c>
      <c r="C891" s="6" t="str">
        <f t="shared" ref="C891:C918" si="39">"女"</f>
        <v>女</v>
      </c>
      <c r="D891" s="6" t="str">
        <f>"202116011625"</f>
        <v>202116011625</v>
      </c>
      <c r="E891" s="10" t="s">
        <v>20</v>
      </c>
      <c r="F891" s="6" t="s">
        <v>10</v>
      </c>
      <c r="G891" s="8">
        <v>0</v>
      </c>
      <c r="H891" s="9">
        <v>1</v>
      </c>
    </row>
    <row r="892" spans="1:8">
      <c r="A892" s="5">
        <v>703</v>
      </c>
      <c r="B892" s="6" t="str">
        <f>"丁明"</f>
        <v>丁明</v>
      </c>
      <c r="C892" s="6" t="str">
        <f t="shared" si="39"/>
        <v>女</v>
      </c>
      <c r="D892" s="6" t="str">
        <f>"202116011626"</f>
        <v>202116011626</v>
      </c>
      <c r="E892" s="10" t="s">
        <v>20</v>
      </c>
      <c r="F892" s="6" t="s">
        <v>10</v>
      </c>
      <c r="G892" s="8">
        <v>67.599999999999994</v>
      </c>
      <c r="H892" s="6"/>
    </row>
    <row r="893" spans="1:8">
      <c r="A893" s="5">
        <v>831</v>
      </c>
      <c r="B893" s="6" t="str">
        <f>"杨芊"</f>
        <v>杨芊</v>
      </c>
      <c r="C893" s="6" t="str">
        <f t="shared" si="39"/>
        <v>女</v>
      </c>
      <c r="D893" s="6" t="str">
        <f>"202116011627"</f>
        <v>202116011627</v>
      </c>
      <c r="E893" s="10" t="s">
        <v>20</v>
      </c>
      <c r="F893" s="6" t="s">
        <v>10</v>
      </c>
      <c r="G893" s="8">
        <v>55.2</v>
      </c>
      <c r="H893" s="6"/>
    </row>
    <row r="894" spans="1:8">
      <c r="A894" s="5">
        <v>724</v>
      </c>
      <c r="B894" s="6" t="str">
        <f>"唐禧阳"</f>
        <v>唐禧阳</v>
      </c>
      <c r="C894" s="6" t="str">
        <f t="shared" si="39"/>
        <v>女</v>
      </c>
      <c r="D894" s="6" t="str">
        <f>"202116011628"</f>
        <v>202116011628</v>
      </c>
      <c r="E894" s="10" t="s">
        <v>20</v>
      </c>
      <c r="F894" s="6" t="s">
        <v>10</v>
      </c>
      <c r="G894" s="8">
        <v>0</v>
      </c>
      <c r="H894" s="9">
        <v>1</v>
      </c>
    </row>
    <row r="895" spans="1:8">
      <c r="A895" s="5">
        <v>706</v>
      </c>
      <c r="B895" s="6" t="str">
        <f>"黄雅倩"</f>
        <v>黄雅倩</v>
      </c>
      <c r="C895" s="6" t="str">
        <f t="shared" si="39"/>
        <v>女</v>
      </c>
      <c r="D895" s="6" t="str">
        <f>"202116011629"</f>
        <v>202116011629</v>
      </c>
      <c r="E895" s="10" t="s">
        <v>20</v>
      </c>
      <c r="F895" s="6" t="s">
        <v>10</v>
      </c>
      <c r="G895" s="8">
        <v>60.05</v>
      </c>
      <c r="H895" s="6"/>
    </row>
    <row r="896" spans="1:8">
      <c r="A896" s="5">
        <v>755</v>
      </c>
      <c r="B896" s="6" t="str">
        <f>"林万利"</f>
        <v>林万利</v>
      </c>
      <c r="C896" s="6" t="str">
        <f t="shared" si="39"/>
        <v>女</v>
      </c>
      <c r="D896" s="6" t="str">
        <f>"202116011630"</f>
        <v>202116011630</v>
      </c>
      <c r="E896" s="10" t="s">
        <v>20</v>
      </c>
      <c r="F896" s="6" t="s">
        <v>10</v>
      </c>
      <c r="G896" s="8">
        <v>59.7</v>
      </c>
      <c r="H896" s="6"/>
    </row>
    <row r="897" spans="1:8">
      <c r="A897" s="5">
        <v>843</v>
      </c>
      <c r="B897" s="6" t="str">
        <f>"梁爱林"</f>
        <v>梁爱林</v>
      </c>
      <c r="C897" s="6" t="str">
        <f t="shared" si="39"/>
        <v>女</v>
      </c>
      <c r="D897" s="6" t="str">
        <f>"202116011701"</f>
        <v>202116011701</v>
      </c>
      <c r="E897" s="10" t="s">
        <v>20</v>
      </c>
      <c r="F897" s="6" t="s">
        <v>10</v>
      </c>
      <c r="G897" s="8">
        <v>50.95</v>
      </c>
      <c r="H897" s="6"/>
    </row>
    <row r="898" spans="1:8">
      <c r="A898" s="5">
        <v>779</v>
      </c>
      <c r="B898" s="6" t="str">
        <f>"宋梦兰"</f>
        <v>宋梦兰</v>
      </c>
      <c r="C898" s="6" t="str">
        <f t="shared" si="39"/>
        <v>女</v>
      </c>
      <c r="D898" s="6" t="str">
        <f>"202116011702"</f>
        <v>202116011702</v>
      </c>
      <c r="E898" s="10" t="s">
        <v>20</v>
      </c>
      <c r="F898" s="6" t="s">
        <v>10</v>
      </c>
      <c r="G898" s="8">
        <v>59.25</v>
      </c>
      <c r="H898" s="6"/>
    </row>
    <row r="899" spans="1:8">
      <c r="A899" s="5">
        <v>819</v>
      </c>
      <c r="B899" s="6" t="str">
        <f>"何俊"</f>
        <v>何俊</v>
      </c>
      <c r="C899" s="6" t="str">
        <f t="shared" si="39"/>
        <v>女</v>
      </c>
      <c r="D899" s="6" t="str">
        <f>"202116011703"</f>
        <v>202116011703</v>
      </c>
      <c r="E899" s="10" t="s">
        <v>20</v>
      </c>
      <c r="F899" s="6" t="s">
        <v>10</v>
      </c>
      <c r="G899" s="8">
        <v>53.85</v>
      </c>
      <c r="H899" s="6"/>
    </row>
    <row r="900" spans="1:8">
      <c r="A900" s="5">
        <v>743</v>
      </c>
      <c r="B900" s="6" t="str">
        <f>"李钰滢"</f>
        <v>李钰滢</v>
      </c>
      <c r="C900" s="6" t="str">
        <f t="shared" si="39"/>
        <v>女</v>
      </c>
      <c r="D900" s="6" t="str">
        <f>"202116011704"</f>
        <v>202116011704</v>
      </c>
      <c r="E900" s="10" t="s">
        <v>20</v>
      </c>
      <c r="F900" s="6" t="s">
        <v>10</v>
      </c>
      <c r="G900" s="8">
        <v>61</v>
      </c>
      <c r="H900" s="6"/>
    </row>
    <row r="901" spans="1:8">
      <c r="A901" s="5">
        <v>772</v>
      </c>
      <c r="B901" s="6" t="str">
        <f>"伍爱玲"</f>
        <v>伍爱玲</v>
      </c>
      <c r="C901" s="6" t="str">
        <f t="shared" si="39"/>
        <v>女</v>
      </c>
      <c r="D901" s="6" t="str">
        <f>"202116011705"</f>
        <v>202116011705</v>
      </c>
      <c r="E901" s="10" t="s">
        <v>20</v>
      </c>
      <c r="F901" s="6" t="s">
        <v>10</v>
      </c>
      <c r="G901" s="8">
        <v>67.2</v>
      </c>
      <c r="H901" s="6"/>
    </row>
    <row r="902" spans="1:8">
      <c r="A902" s="5">
        <v>829</v>
      </c>
      <c r="B902" s="6" t="str">
        <f>"陈思诗"</f>
        <v>陈思诗</v>
      </c>
      <c r="C902" s="6" t="str">
        <f t="shared" si="39"/>
        <v>女</v>
      </c>
      <c r="D902" s="6" t="str">
        <f>"202116011706"</f>
        <v>202116011706</v>
      </c>
      <c r="E902" s="10" t="s">
        <v>20</v>
      </c>
      <c r="F902" s="6" t="s">
        <v>10</v>
      </c>
      <c r="G902" s="8">
        <v>55.25</v>
      </c>
      <c r="H902" s="6"/>
    </row>
    <row r="903" spans="1:8">
      <c r="A903" s="5">
        <v>736</v>
      </c>
      <c r="B903" s="6" t="str">
        <f>"周雅钰"</f>
        <v>周雅钰</v>
      </c>
      <c r="C903" s="6" t="str">
        <f t="shared" si="39"/>
        <v>女</v>
      </c>
      <c r="D903" s="6" t="str">
        <f>"202116011707"</f>
        <v>202116011707</v>
      </c>
      <c r="E903" s="10" t="s">
        <v>20</v>
      </c>
      <c r="F903" s="6" t="s">
        <v>10</v>
      </c>
      <c r="G903" s="8">
        <v>55.75</v>
      </c>
      <c r="H903" s="6"/>
    </row>
    <row r="904" spans="1:8">
      <c r="A904" s="5">
        <v>685</v>
      </c>
      <c r="B904" s="6" t="str">
        <f>"胡梦灵"</f>
        <v>胡梦灵</v>
      </c>
      <c r="C904" s="6" t="str">
        <f t="shared" si="39"/>
        <v>女</v>
      </c>
      <c r="D904" s="6" t="str">
        <f>"202116011708"</f>
        <v>202116011708</v>
      </c>
      <c r="E904" s="10" t="s">
        <v>20</v>
      </c>
      <c r="F904" s="6" t="s">
        <v>10</v>
      </c>
      <c r="G904" s="8">
        <v>0</v>
      </c>
      <c r="H904" s="9">
        <v>1</v>
      </c>
    </row>
    <row r="905" spans="1:8">
      <c r="A905" s="5">
        <v>734</v>
      </c>
      <c r="B905" s="6" t="str">
        <f>"林燕"</f>
        <v>林燕</v>
      </c>
      <c r="C905" s="6" t="str">
        <f t="shared" si="39"/>
        <v>女</v>
      </c>
      <c r="D905" s="6" t="str">
        <f>"202116011709"</f>
        <v>202116011709</v>
      </c>
      <c r="E905" s="10" t="s">
        <v>20</v>
      </c>
      <c r="F905" s="6" t="s">
        <v>10</v>
      </c>
      <c r="G905" s="8">
        <v>60.75</v>
      </c>
      <c r="H905" s="6"/>
    </row>
    <row r="906" spans="1:8">
      <c r="A906" s="5">
        <v>740</v>
      </c>
      <c r="B906" s="6" t="str">
        <f>"童雲"</f>
        <v>童雲</v>
      </c>
      <c r="C906" s="6" t="str">
        <f t="shared" si="39"/>
        <v>女</v>
      </c>
      <c r="D906" s="6" t="str">
        <f>"202116011710"</f>
        <v>202116011710</v>
      </c>
      <c r="E906" s="10" t="s">
        <v>20</v>
      </c>
      <c r="F906" s="6" t="s">
        <v>10</v>
      </c>
      <c r="G906" s="8">
        <v>59.45</v>
      </c>
      <c r="H906" s="6"/>
    </row>
    <row r="907" spans="1:8">
      <c r="A907" s="5">
        <v>712</v>
      </c>
      <c r="B907" s="6" t="str">
        <f>"李晴"</f>
        <v>李晴</v>
      </c>
      <c r="C907" s="6" t="str">
        <f t="shared" si="39"/>
        <v>女</v>
      </c>
      <c r="D907" s="6" t="str">
        <f>"202116011711"</f>
        <v>202116011711</v>
      </c>
      <c r="E907" s="10" t="s">
        <v>20</v>
      </c>
      <c r="F907" s="6" t="s">
        <v>10</v>
      </c>
      <c r="G907" s="8">
        <v>68.599999999999994</v>
      </c>
      <c r="H907" s="6"/>
    </row>
    <row r="908" spans="1:8">
      <c r="A908" s="5">
        <v>721</v>
      </c>
      <c r="B908" s="6" t="str">
        <f>"谢佳"</f>
        <v>谢佳</v>
      </c>
      <c r="C908" s="6" t="str">
        <f t="shared" si="39"/>
        <v>女</v>
      </c>
      <c r="D908" s="6" t="str">
        <f>"202116011712"</f>
        <v>202116011712</v>
      </c>
      <c r="E908" s="10" t="s">
        <v>20</v>
      </c>
      <c r="F908" s="6" t="s">
        <v>10</v>
      </c>
      <c r="G908" s="8">
        <v>49.4</v>
      </c>
      <c r="H908" s="6"/>
    </row>
    <row r="909" spans="1:8">
      <c r="A909" s="5">
        <v>753</v>
      </c>
      <c r="B909" s="6" t="str">
        <f>"刘英姿"</f>
        <v>刘英姿</v>
      </c>
      <c r="C909" s="6" t="str">
        <f t="shared" si="39"/>
        <v>女</v>
      </c>
      <c r="D909" s="6" t="str">
        <f>"202116011713"</f>
        <v>202116011713</v>
      </c>
      <c r="E909" s="10" t="s">
        <v>20</v>
      </c>
      <c r="F909" s="6" t="s">
        <v>10</v>
      </c>
      <c r="G909" s="8">
        <v>54.7</v>
      </c>
      <c r="H909" s="6"/>
    </row>
    <row r="910" spans="1:8">
      <c r="A910" s="5">
        <v>714</v>
      </c>
      <c r="B910" s="6" t="str">
        <f>"石怡元"</f>
        <v>石怡元</v>
      </c>
      <c r="C910" s="6" t="str">
        <f t="shared" si="39"/>
        <v>女</v>
      </c>
      <c r="D910" s="6" t="str">
        <f>"202116011714"</f>
        <v>202116011714</v>
      </c>
      <c r="E910" s="10" t="s">
        <v>20</v>
      </c>
      <c r="F910" s="6" t="s">
        <v>10</v>
      </c>
      <c r="G910" s="8">
        <v>61.2</v>
      </c>
      <c r="H910" s="6"/>
    </row>
    <row r="911" spans="1:8">
      <c r="A911" s="5">
        <v>793</v>
      </c>
      <c r="B911" s="6" t="str">
        <f>"曾丽婷"</f>
        <v>曾丽婷</v>
      </c>
      <c r="C911" s="6" t="str">
        <f t="shared" si="39"/>
        <v>女</v>
      </c>
      <c r="D911" s="6" t="str">
        <f>"202116011715"</f>
        <v>202116011715</v>
      </c>
      <c r="E911" s="10" t="s">
        <v>20</v>
      </c>
      <c r="F911" s="6" t="s">
        <v>10</v>
      </c>
      <c r="G911" s="8">
        <v>58.9</v>
      </c>
      <c r="H911" s="6"/>
    </row>
    <row r="912" spans="1:8">
      <c r="A912" s="5">
        <v>756</v>
      </c>
      <c r="B912" s="6" t="str">
        <f>"朱灵芝"</f>
        <v>朱灵芝</v>
      </c>
      <c r="C912" s="6" t="str">
        <f t="shared" si="39"/>
        <v>女</v>
      </c>
      <c r="D912" s="6" t="str">
        <f>"202116011716"</f>
        <v>202116011716</v>
      </c>
      <c r="E912" s="10" t="s">
        <v>20</v>
      </c>
      <c r="F912" s="6" t="s">
        <v>10</v>
      </c>
      <c r="G912" s="8">
        <v>56.05</v>
      </c>
      <c r="H912" s="6"/>
    </row>
    <row r="913" spans="1:8">
      <c r="A913" s="5">
        <v>846</v>
      </c>
      <c r="B913" s="6" t="str">
        <f>"喻丹丹"</f>
        <v>喻丹丹</v>
      </c>
      <c r="C913" s="6" t="str">
        <f t="shared" si="39"/>
        <v>女</v>
      </c>
      <c r="D913" s="6" t="str">
        <f>"202116011717"</f>
        <v>202116011717</v>
      </c>
      <c r="E913" s="10" t="s">
        <v>20</v>
      </c>
      <c r="F913" s="6" t="s">
        <v>10</v>
      </c>
      <c r="G913" s="8">
        <v>67.099999999999994</v>
      </c>
      <c r="H913" s="6"/>
    </row>
    <row r="914" spans="1:8">
      <c r="A914" s="5">
        <v>824</v>
      </c>
      <c r="B914" s="6" t="str">
        <f>"杨嘉莉"</f>
        <v>杨嘉莉</v>
      </c>
      <c r="C914" s="6" t="str">
        <f t="shared" si="39"/>
        <v>女</v>
      </c>
      <c r="D914" s="6" t="str">
        <f>"202116011718"</f>
        <v>202116011718</v>
      </c>
      <c r="E914" s="10" t="s">
        <v>20</v>
      </c>
      <c r="F914" s="6" t="s">
        <v>10</v>
      </c>
      <c r="G914" s="8">
        <v>58</v>
      </c>
      <c r="H914" s="6"/>
    </row>
    <row r="915" spans="1:8">
      <c r="A915" s="5">
        <v>766</v>
      </c>
      <c r="B915" s="6" t="str">
        <f>"姚欣妤"</f>
        <v>姚欣妤</v>
      </c>
      <c r="C915" s="6" t="str">
        <f t="shared" si="39"/>
        <v>女</v>
      </c>
      <c r="D915" s="6" t="str">
        <f>"202116011719"</f>
        <v>202116011719</v>
      </c>
      <c r="E915" s="10" t="s">
        <v>20</v>
      </c>
      <c r="F915" s="6" t="s">
        <v>10</v>
      </c>
      <c r="G915" s="8">
        <v>63.05</v>
      </c>
      <c r="H915" s="6"/>
    </row>
    <row r="916" spans="1:8">
      <c r="A916" s="5">
        <v>826</v>
      </c>
      <c r="B916" s="6" t="str">
        <f>"张雪超"</f>
        <v>张雪超</v>
      </c>
      <c r="C916" s="6" t="str">
        <f t="shared" si="39"/>
        <v>女</v>
      </c>
      <c r="D916" s="6" t="str">
        <f>"202116011720"</f>
        <v>202116011720</v>
      </c>
      <c r="E916" s="10" t="s">
        <v>20</v>
      </c>
      <c r="F916" s="6" t="s">
        <v>10</v>
      </c>
      <c r="G916" s="8">
        <v>0</v>
      </c>
      <c r="H916" s="9">
        <v>1</v>
      </c>
    </row>
    <row r="917" spans="1:8">
      <c r="A917" s="5">
        <v>742</v>
      </c>
      <c r="B917" s="6" t="str">
        <f>"徐妃嫱"</f>
        <v>徐妃嫱</v>
      </c>
      <c r="C917" s="6" t="str">
        <f t="shared" si="39"/>
        <v>女</v>
      </c>
      <c r="D917" s="6" t="str">
        <f>"202116011721"</f>
        <v>202116011721</v>
      </c>
      <c r="E917" s="10" t="s">
        <v>20</v>
      </c>
      <c r="F917" s="6" t="s">
        <v>10</v>
      </c>
      <c r="G917" s="8">
        <v>56.75</v>
      </c>
      <c r="H917" s="6"/>
    </row>
    <row r="918" spans="1:8">
      <c r="A918" s="5">
        <v>841</v>
      </c>
      <c r="B918" s="6" t="str">
        <f>"汤紫微"</f>
        <v>汤紫微</v>
      </c>
      <c r="C918" s="6" t="str">
        <f t="shared" si="39"/>
        <v>女</v>
      </c>
      <c r="D918" s="6" t="str">
        <f>"202116011722"</f>
        <v>202116011722</v>
      </c>
      <c r="E918" s="10" t="s">
        <v>20</v>
      </c>
      <c r="F918" s="6" t="s">
        <v>10</v>
      </c>
      <c r="G918" s="8">
        <v>55.6</v>
      </c>
      <c r="H918" s="6"/>
    </row>
    <row r="919" spans="1:8">
      <c r="A919" s="5">
        <v>844</v>
      </c>
      <c r="B919" s="6" t="str">
        <f>"李少朋"</f>
        <v>李少朋</v>
      </c>
      <c r="C919" s="6" t="str">
        <f>"男"</f>
        <v>男</v>
      </c>
      <c r="D919" s="6" t="str">
        <f>"202116011723"</f>
        <v>202116011723</v>
      </c>
      <c r="E919" s="10" t="s">
        <v>20</v>
      </c>
      <c r="F919" s="6" t="s">
        <v>10</v>
      </c>
      <c r="G919" s="8">
        <v>49.9</v>
      </c>
      <c r="H919" s="6"/>
    </row>
    <row r="920" spans="1:8">
      <c r="A920" s="5">
        <v>799</v>
      </c>
      <c r="B920" s="6" t="str">
        <f>"刘奕"</f>
        <v>刘奕</v>
      </c>
      <c r="C920" s="6" t="str">
        <f t="shared" ref="C920:C951" si="40">"女"</f>
        <v>女</v>
      </c>
      <c r="D920" s="6" t="str">
        <f>"202116011724"</f>
        <v>202116011724</v>
      </c>
      <c r="E920" s="10" t="s">
        <v>20</v>
      </c>
      <c r="F920" s="6" t="s">
        <v>10</v>
      </c>
      <c r="G920" s="8">
        <v>55.6</v>
      </c>
      <c r="H920" s="6"/>
    </row>
    <row r="921" spans="1:8">
      <c r="A921" s="5">
        <v>838</v>
      </c>
      <c r="B921" s="6" t="str">
        <f>"罗仟婕"</f>
        <v>罗仟婕</v>
      </c>
      <c r="C921" s="6" t="str">
        <f t="shared" si="40"/>
        <v>女</v>
      </c>
      <c r="D921" s="6" t="str">
        <f>"202116011725"</f>
        <v>202116011725</v>
      </c>
      <c r="E921" s="10" t="s">
        <v>20</v>
      </c>
      <c r="F921" s="6" t="s">
        <v>10</v>
      </c>
      <c r="G921" s="8">
        <v>55.05</v>
      </c>
      <c r="H921" s="6"/>
    </row>
    <row r="922" spans="1:8">
      <c r="A922" s="5">
        <v>689</v>
      </c>
      <c r="B922" s="6" t="str">
        <f>"颜康"</f>
        <v>颜康</v>
      </c>
      <c r="C922" s="6" t="str">
        <f t="shared" si="40"/>
        <v>女</v>
      </c>
      <c r="D922" s="6" t="str">
        <f>"202116011726"</f>
        <v>202116011726</v>
      </c>
      <c r="E922" s="10" t="s">
        <v>20</v>
      </c>
      <c r="F922" s="6" t="s">
        <v>10</v>
      </c>
      <c r="G922" s="8">
        <v>0</v>
      </c>
      <c r="H922" s="9">
        <v>1</v>
      </c>
    </row>
    <row r="923" spans="1:8">
      <c r="A923" s="5">
        <v>702</v>
      </c>
      <c r="B923" s="6" t="str">
        <f>"邓泉"</f>
        <v>邓泉</v>
      </c>
      <c r="C923" s="6" t="str">
        <f t="shared" si="40"/>
        <v>女</v>
      </c>
      <c r="D923" s="6" t="str">
        <f>"202116011727"</f>
        <v>202116011727</v>
      </c>
      <c r="E923" s="10" t="s">
        <v>20</v>
      </c>
      <c r="F923" s="6" t="s">
        <v>10</v>
      </c>
      <c r="G923" s="8">
        <v>49.9</v>
      </c>
      <c r="H923" s="6"/>
    </row>
    <row r="924" spans="1:8">
      <c r="A924" s="5">
        <v>790</v>
      </c>
      <c r="B924" s="6" t="str">
        <f>"蔡叶青"</f>
        <v>蔡叶青</v>
      </c>
      <c r="C924" s="6" t="str">
        <f t="shared" si="40"/>
        <v>女</v>
      </c>
      <c r="D924" s="6" t="str">
        <f>"202116011728"</f>
        <v>202116011728</v>
      </c>
      <c r="E924" s="10" t="s">
        <v>20</v>
      </c>
      <c r="F924" s="6" t="s">
        <v>10</v>
      </c>
      <c r="G924" s="8">
        <v>53.3</v>
      </c>
      <c r="H924" s="6"/>
    </row>
    <row r="925" spans="1:8">
      <c r="A925" s="5">
        <v>845</v>
      </c>
      <c r="B925" s="6" t="str">
        <f>"江娜"</f>
        <v>江娜</v>
      </c>
      <c r="C925" s="6" t="str">
        <f t="shared" si="40"/>
        <v>女</v>
      </c>
      <c r="D925" s="6" t="str">
        <f>"202116011729"</f>
        <v>202116011729</v>
      </c>
      <c r="E925" s="10" t="s">
        <v>20</v>
      </c>
      <c r="F925" s="6" t="s">
        <v>10</v>
      </c>
      <c r="G925" s="8">
        <v>52.3</v>
      </c>
      <c r="H925" s="6"/>
    </row>
    <row r="926" spans="1:8">
      <c r="A926" s="5">
        <v>698</v>
      </c>
      <c r="B926" s="6" t="str">
        <f>"刘佳佳"</f>
        <v>刘佳佳</v>
      </c>
      <c r="C926" s="6" t="str">
        <f t="shared" si="40"/>
        <v>女</v>
      </c>
      <c r="D926" s="6" t="str">
        <f>"202116011730"</f>
        <v>202116011730</v>
      </c>
      <c r="E926" s="10" t="s">
        <v>20</v>
      </c>
      <c r="F926" s="6" t="s">
        <v>10</v>
      </c>
      <c r="G926" s="8">
        <v>60.55</v>
      </c>
      <c r="H926" s="6"/>
    </row>
    <row r="927" spans="1:8">
      <c r="A927" s="5">
        <v>768</v>
      </c>
      <c r="B927" s="6" t="str">
        <f>"唐争艳"</f>
        <v>唐争艳</v>
      </c>
      <c r="C927" s="6" t="str">
        <f t="shared" si="40"/>
        <v>女</v>
      </c>
      <c r="D927" s="6" t="str">
        <f>"202116011801"</f>
        <v>202116011801</v>
      </c>
      <c r="E927" s="10" t="s">
        <v>20</v>
      </c>
      <c r="F927" s="6" t="s">
        <v>10</v>
      </c>
      <c r="G927" s="8">
        <v>58</v>
      </c>
      <c r="H927" s="6"/>
    </row>
    <row r="928" spans="1:8">
      <c r="A928" s="5">
        <v>701</v>
      </c>
      <c r="B928" s="6" t="str">
        <f>"曾茵茵"</f>
        <v>曾茵茵</v>
      </c>
      <c r="C928" s="6" t="str">
        <f t="shared" si="40"/>
        <v>女</v>
      </c>
      <c r="D928" s="6" t="str">
        <f>"202116011802"</f>
        <v>202116011802</v>
      </c>
      <c r="E928" s="10" t="s">
        <v>20</v>
      </c>
      <c r="F928" s="6" t="s">
        <v>10</v>
      </c>
      <c r="G928" s="8">
        <v>60.05</v>
      </c>
      <c r="H928" s="6"/>
    </row>
    <row r="929" spans="1:8">
      <c r="A929" s="5">
        <v>787</v>
      </c>
      <c r="B929" s="6" t="str">
        <f>"夏思婷"</f>
        <v>夏思婷</v>
      </c>
      <c r="C929" s="6" t="str">
        <f t="shared" si="40"/>
        <v>女</v>
      </c>
      <c r="D929" s="6" t="str">
        <f>"202116011803"</f>
        <v>202116011803</v>
      </c>
      <c r="E929" s="10" t="s">
        <v>20</v>
      </c>
      <c r="F929" s="6" t="s">
        <v>10</v>
      </c>
      <c r="G929" s="8">
        <v>66.05</v>
      </c>
      <c r="H929" s="6"/>
    </row>
    <row r="930" spans="1:8">
      <c r="A930" s="5">
        <v>815</v>
      </c>
      <c r="B930" s="6" t="str">
        <f>"肖思"</f>
        <v>肖思</v>
      </c>
      <c r="C930" s="6" t="str">
        <f t="shared" si="40"/>
        <v>女</v>
      </c>
      <c r="D930" s="6" t="str">
        <f>"202116011804"</f>
        <v>202116011804</v>
      </c>
      <c r="E930" s="10" t="s">
        <v>20</v>
      </c>
      <c r="F930" s="6" t="s">
        <v>10</v>
      </c>
      <c r="G930" s="8">
        <v>0</v>
      </c>
      <c r="H930" s="9">
        <v>1</v>
      </c>
    </row>
    <row r="931" spans="1:8">
      <c r="A931" s="5">
        <v>792</v>
      </c>
      <c r="B931" s="6" t="str">
        <f>"杨洋"</f>
        <v>杨洋</v>
      </c>
      <c r="C931" s="6" t="str">
        <f t="shared" si="40"/>
        <v>女</v>
      </c>
      <c r="D931" s="6" t="str">
        <f>"202116011805"</f>
        <v>202116011805</v>
      </c>
      <c r="E931" s="10" t="s">
        <v>20</v>
      </c>
      <c r="F931" s="6" t="s">
        <v>10</v>
      </c>
      <c r="G931" s="8">
        <v>53.6</v>
      </c>
      <c r="H931" s="6"/>
    </row>
    <row r="932" spans="1:8">
      <c r="A932" s="5">
        <v>757</v>
      </c>
      <c r="B932" s="6" t="str">
        <f>"李东鸿"</f>
        <v>李东鸿</v>
      </c>
      <c r="C932" s="6" t="str">
        <f t="shared" si="40"/>
        <v>女</v>
      </c>
      <c r="D932" s="6" t="str">
        <f>"202116011806"</f>
        <v>202116011806</v>
      </c>
      <c r="E932" s="10" t="s">
        <v>20</v>
      </c>
      <c r="F932" s="6" t="s">
        <v>10</v>
      </c>
      <c r="G932" s="8">
        <v>63.3</v>
      </c>
      <c r="H932" s="6"/>
    </row>
    <row r="933" spans="1:8">
      <c r="A933" s="5">
        <v>776</v>
      </c>
      <c r="B933" s="6" t="str">
        <f>"王雅璟"</f>
        <v>王雅璟</v>
      </c>
      <c r="C933" s="6" t="str">
        <f t="shared" si="40"/>
        <v>女</v>
      </c>
      <c r="D933" s="6" t="str">
        <f>"202116011807"</f>
        <v>202116011807</v>
      </c>
      <c r="E933" s="10" t="s">
        <v>20</v>
      </c>
      <c r="F933" s="6" t="s">
        <v>10</v>
      </c>
      <c r="G933" s="8">
        <v>57.3</v>
      </c>
      <c r="H933" s="6"/>
    </row>
    <row r="934" spans="1:8">
      <c r="A934" s="5">
        <v>809</v>
      </c>
      <c r="B934" s="6" t="str">
        <f>"杨佩瑛"</f>
        <v>杨佩瑛</v>
      </c>
      <c r="C934" s="6" t="str">
        <f t="shared" si="40"/>
        <v>女</v>
      </c>
      <c r="D934" s="6" t="str">
        <f>"202116011808"</f>
        <v>202116011808</v>
      </c>
      <c r="E934" s="10" t="s">
        <v>20</v>
      </c>
      <c r="F934" s="6" t="s">
        <v>10</v>
      </c>
      <c r="G934" s="8">
        <v>56.5</v>
      </c>
      <c r="H934" s="6"/>
    </row>
    <row r="935" spans="1:8">
      <c r="A935" s="5">
        <v>735</v>
      </c>
      <c r="B935" s="6" t="str">
        <f>"肖瑶"</f>
        <v>肖瑶</v>
      </c>
      <c r="C935" s="6" t="str">
        <f t="shared" si="40"/>
        <v>女</v>
      </c>
      <c r="D935" s="6" t="str">
        <f>"202116011809"</f>
        <v>202116011809</v>
      </c>
      <c r="E935" s="10" t="s">
        <v>20</v>
      </c>
      <c r="F935" s="6" t="s">
        <v>10</v>
      </c>
      <c r="G935" s="8">
        <v>55.6</v>
      </c>
      <c r="H935" s="6"/>
    </row>
    <row r="936" spans="1:8">
      <c r="A936" s="5">
        <v>813</v>
      </c>
      <c r="B936" s="6" t="str">
        <f>"唐文伊"</f>
        <v>唐文伊</v>
      </c>
      <c r="C936" s="6" t="str">
        <f t="shared" si="40"/>
        <v>女</v>
      </c>
      <c r="D936" s="6" t="str">
        <f>"202116011810"</f>
        <v>202116011810</v>
      </c>
      <c r="E936" s="10" t="s">
        <v>20</v>
      </c>
      <c r="F936" s="6" t="s">
        <v>10</v>
      </c>
      <c r="G936" s="8">
        <v>52.8</v>
      </c>
      <c r="H936" s="6"/>
    </row>
    <row r="937" spans="1:8">
      <c r="A937" s="5">
        <v>723</v>
      </c>
      <c r="B937" s="6" t="str">
        <f>"张子江"</f>
        <v>张子江</v>
      </c>
      <c r="C937" s="6" t="str">
        <f t="shared" si="40"/>
        <v>女</v>
      </c>
      <c r="D937" s="6" t="str">
        <f>"202116011811"</f>
        <v>202116011811</v>
      </c>
      <c r="E937" s="10" t="s">
        <v>20</v>
      </c>
      <c r="F937" s="6" t="s">
        <v>10</v>
      </c>
      <c r="G937" s="8">
        <v>60.25</v>
      </c>
      <c r="H937" s="6"/>
    </row>
    <row r="938" spans="1:8">
      <c r="A938" s="5">
        <v>741</v>
      </c>
      <c r="B938" s="6" t="str">
        <f>"侯娟"</f>
        <v>侯娟</v>
      </c>
      <c r="C938" s="6" t="str">
        <f t="shared" si="40"/>
        <v>女</v>
      </c>
      <c r="D938" s="6" t="str">
        <f>"202116011812"</f>
        <v>202116011812</v>
      </c>
      <c r="E938" s="10" t="s">
        <v>20</v>
      </c>
      <c r="F938" s="6" t="s">
        <v>10</v>
      </c>
      <c r="G938" s="8">
        <v>64.45</v>
      </c>
      <c r="H938" s="6"/>
    </row>
    <row r="939" spans="1:8">
      <c r="A939" s="5">
        <v>769</v>
      </c>
      <c r="B939" s="6" t="str">
        <f>"龚金花"</f>
        <v>龚金花</v>
      </c>
      <c r="C939" s="6" t="str">
        <f t="shared" si="40"/>
        <v>女</v>
      </c>
      <c r="D939" s="6" t="str">
        <f>"202116011813"</f>
        <v>202116011813</v>
      </c>
      <c r="E939" s="10" t="s">
        <v>20</v>
      </c>
      <c r="F939" s="6" t="s">
        <v>10</v>
      </c>
      <c r="G939" s="8">
        <v>61.6</v>
      </c>
      <c r="H939" s="6"/>
    </row>
    <row r="940" spans="1:8">
      <c r="A940" s="5">
        <v>699</v>
      </c>
      <c r="B940" s="6" t="str">
        <f>"张艺"</f>
        <v>张艺</v>
      </c>
      <c r="C940" s="6" t="str">
        <f t="shared" si="40"/>
        <v>女</v>
      </c>
      <c r="D940" s="6" t="str">
        <f>"202116011814"</f>
        <v>202116011814</v>
      </c>
      <c r="E940" s="10" t="s">
        <v>20</v>
      </c>
      <c r="F940" s="6" t="s">
        <v>10</v>
      </c>
      <c r="G940" s="8">
        <v>64.45</v>
      </c>
      <c r="H940" s="6"/>
    </row>
    <row r="941" spans="1:8">
      <c r="A941" s="5">
        <v>781</v>
      </c>
      <c r="B941" s="6" t="str">
        <f>"谢若兰"</f>
        <v>谢若兰</v>
      </c>
      <c r="C941" s="6" t="str">
        <f t="shared" si="40"/>
        <v>女</v>
      </c>
      <c r="D941" s="6" t="str">
        <f>"202116011815"</f>
        <v>202116011815</v>
      </c>
      <c r="E941" s="10" t="s">
        <v>20</v>
      </c>
      <c r="F941" s="6" t="s">
        <v>10</v>
      </c>
      <c r="G941" s="8">
        <v>64.400000000000006</v>
      </c>
      <c r="H941" s="6"/>
    </row>
    <row r="942" spans="1:8">
      <c r="A942" s="5">
        <v>682</v>
      </c>
      <c r="B942" s="6" t="str">
        <f>"欧慕蓉"</f>
        <v>欧慕蓉</v>
      </c>
      <c r="C942" s="6" t="str">
        <f t="shared" si="40"/>
        <v>女</v>
      </c>
      <c r="D942" s="6" t="str">
        <f>"202116011816"</f>
        <v>202116011816</v>
      </c>
      <c r="E942" s="10" t="s">
        <v>20</v>
      </c>
      <c r="F942" s="6" t="s">
        <v>10</v>
      </c>
      <c r="G942" s="8">
        <v>0</v>
      </c>
      <c r="H942" s="9">
        <v>1</v>
      </c>
    </row>
    <row r="943" spans="1:8">
      <c r="A943" s="5">
        <v>832</v>
      </c>
      <c r="B943" s="6" t="str">
        <f>"刘紫薇"</f>
        <v>刘紫薇</v>
      </c>
      <c r="C943" s="6" t="str">
        <f t="shared" si="40"/>
        <v>女</v>
      </c>
      <c r="D943" s="6" t="str">
        <f>"202116011817"</f>
        <v>202116011817</v>
      </c>
      <c r="E943" s="10" t="s">
        <v>20</v>
      </c>
      <c r="F943" s="6" t="s">
        <v>10</v>
      </c>
      <c r="G943" s="8">
        <v>56.55</v>
      </c>
      <c r="H943" s="6"/>
    </row>
    <row r="944" spans="1:8">
      <c r="A944" s="5">
        <v>719</v>
      </c>
      <c r="B944" s="6" t="str">
        <f>"黄晴"</f>
        <v>黄晴</v>
      </c>
      <c r="C944" s="6" t="str">
        <f t="shared" si="40"/>
        <v>女</v>
      </c>
      <c r="D944" s="6" t="str">
        <f>"202116011818"</f>
        <v>202116011818</v>
      </c>
      <c r="E944" s="10" t="s">
        <v>20</v>
      </c>
      <c r="F944" s="6" t="s">
        <v>10</v>
      </c>
      <c r="G944" s="8">
        <v>65.7</v>
      </c>
      <c r="H944" s="6"/>
    </row>
    <row r="945" spans="1:8">
      <c r="A945" s="5">
        <v>782</v>
      </c>
      <c r="B945" s="6" t="str">
        <f>"雷亚岚"</f>
        <v>雷亚岚</v>
      </c>
      <c r="C945" s="6" t="str">
        <f t="shared" si="40"/>
        <v>女</v>
      </c>
      <c r="D945" s="6" t="str">
        <f>"202116011819"</f>
        <v>202116011819</v>
      </c>
      <c r="E945" s="10" t="s">
        <v>20</v>
      </c>
      <c r="F945" s="6" t="s">
        <v>10</v>
      </c>
      <c r="G945" s="8">
        <v>61.15</v>
      </c>
      <c r="H945" s="6"/>
    </row>
    <row r="946" spans="1:8">
      <c r="A946" s="5">
        <v>798</v>
      </c>
      <c r="B946" s="6" t="str">
        <f>"徐珊珊"</f>
        <v>徐珊珊</v>
      </c>
      <c r="C946" s="6" t="str">
        <f t="shared" si="40"/>
        <v>女</v>
      </c>
      <c r="D946" s="6" t="str">
        <f>"202116011820"</f>
        <v>202116011820</v>
      </c>
      <c r="E946" s="10" t="s">
        <v>20</v>
      </c>
      <c r="F946" s="6" t="s">
        <v>10</v>
      </c>
      <c r="G946" s="8">
        <v>0</v>
      </c>
      <c r="H946" s="9">
        <v>1</v>
      </c>
    </row>
    <row r="947" spans="1:8">
      <c r="A947" s="5">
        <v>770</v>
      </c>
      <c r="B947" s="6" t="str">
        <f>"姜浠"</f>
        <v>姜浠</v>
      </c>
      <c r="C947" s="6" t="str">
        <f t="shared" si="40"/>
        <v>女</v>
      </c>
      <c r="D947" s="6" t="str">
        <f>"202116011821"</f>
        <v>202116011821</v>
      </c>
      <c r="E947" s="10" t="s">
        <v>20</v>
      </c>
      <c r="F947" s="6" t="s">
        <v>10</v>
      </c>
      <c r="G947" s="8">
        <v>61.1</v>
      </c>
      <c r="H947" s="6"/>
    </row>
    <row r="948" spans="1:8">
      <c r="A948" s="5">
        <v>825</v>
      </c>
      <c r="B948" s="6" t="str">
        <f>"尹璐"</f>
        <v>尹璐</v>
      </c>
      <c r="C948" s="6" t="str">
        <f t="shared" si="40"/>
        <v>女</v>
      </c>
      <c r="D948" s="6" t="str">
        <f>"202116011822"</f>
        <v>202116011822</v>
      </c>
      <c r="E948" s="10" t="s">
        <v>20</v>
      </c>
      <c r="F948" s="6" t="s">
        <v>10</v>
      </c>
      <c r="G948" s="8">
        <v>62.35</v>
      </c>
      <c r="H948" s="6"/>
    </row>
    <row r="949" spans="1:8">
      <c r="A949" s="5">
        <v>774</v>
      </c>
      <c r="B949" s="6" t="str">
        <f>"李颖"</f>
        <v>李颖</v>
      </c>
      <c r="C949" s="6" t="str">
        <f t="shared" si="40"/>
        <v>女</v>
      </c>
      <c r="D949" s="6" t="str">
        <f>"202116011823"</f>
        <v>202116011823</v>
      </c>
      <c r="E949" s="10" t="s">
        <v>20</v>
      </c>
      <c r="F949" s="6" t="s">
        <v>10</v>
      </c>
      <c r="G949" s="8">
        <v>62</v>
      </c>
      <c r="H949" s="6"/>
    </row>
    <row r="950" spans="1:8">
      <c r="A950" s="5">
        <v>807</v>
      </c>
      <c r="B950" s="6" t="str">
        <f>"刘帆"</f>
        <v>刘帆</v>
      </c>
      <c r="C950" s="6" t="str">
        <f t="shared" si="40"/>
        <v>女</v>
      </c>
      <c r="D950" s="6" t="str">
        <f>"202116011824"</f>
        <v>202116011824</v>
      </c>
      <c r="E950" s="10" t="s">
        <v>20</v>
      </c>
      <c r="F950" s="6" t="s">
        <v>10</v>
      </c>
      <c r="G950" s="8">
        <v>57.45</v>
      </c>
      <c r="H950" s="6"/>
    </row>
    <row r="951" spans="1:8">
      <c r="A951" s="5">
        <v>837</v>
      </c>
      <c r="B951" s="6" t="str">
        <f>"邓丽"</f>
        <v>邓丽</v>
      </c>
      <c r="C951" s="6" t="str">
        <f t="shared" si="40"/>
        <v>女</v>
      </c>
      <c r="D951" s="6" t="str">
        <f>"202116011825"</f>
        <v>202116011825</v>
      </c>
      <c r="E951" s="10" t="s">
        <v>20</v>
      </c>
      <c r="F951" s="6" t="s">
        <v>10</v>
      </c>
      <c r="G951" s="8">
        <v>58.75</v>
      </c>
      <c r="H951" s="6"/>
    </row>
    <row r="952" spans="1:8">
      <c r="A952" s="5">
        <v>842</v>
      </c>
      <c r="B952" s="6" t="str">
        <f>"陈小月"</f>
        <v>陈小月</v>
      </c>
      <c r="C952" s="6" t="str">
        <f t="shared" ref="C952:C983" si="41">"女"</f>
        <v>女</v>
      </c>
      <c r="D952" s="6" t="str">
        <f>"202116011826"</f>
        <v>202116011826</v>
      </c>
      <c r="E952" s="10" t="s">
        <v>20</v>
      </c>
      <c r="F952" s="6" t="s">
        <v>10</v>
      </c>
      <c r="G952" s="8">
        <v>61.8</v>
      </c>
      <c r="H952" s="6"/>
    </row>
    <row r="953" spans="1:8">
      <c r="A953" s="5">
        <v>812</v>
      </c>
      <c r="B953" s="6" t="str">
        <f>"彭思思"</f>
        <v>彭思思</v>
      </c>
      <c r="C953" s="6" t="str">
        <f t="shared" si="41"/>
        <v>女</v>
      </c>
      <c r="D953" s="6" t="str">
        <f>"202116011827"</f>
        <v>202116011827</v>
      </c>
      <c r="E953" s="10" t="s">
        <v>20</v>
      </c>
      <c r="F953" s="6" t="s">
        <v>10</v>
      </c>
      <c r="G953" s="8">
        <v>60.6</v>
      </c>
      <c r="H953" s="6"/>
    </row>
    <row r="954" spans="1:8">
      <c r="A954" s="5">
        <v>839</v>
      </c>
      <c r="B954" s="6" t="str">
        <f>"李娜"</f>
        <v>李娜</v>
      </c>
      <c r="C954" s="6" t="str">
        <f t="shared" si="41"/>
        <v>女</v>
      </c>
      <c r="D954" s="6" t="str">
        <f>"202116011828"</f>
        <v>202116011828</v>
      </c>
      <c r="E954" s="10" t="s">
        <v>20</v>
      </c>
      <c r="F954" s="6" t="s">
        <v>10</v>
      </c>
      <c r="G954" s="8">
        <v>53.85</v>
      </c>
      <c r="H954" s="6"/>
    </row>
    <row r="955" spans="1:8">
      <c r="A955" s="5">
        <v>709</v>
      </c>
      <c r="B955" s="6" t="str">
        <f>"夏湘君"</f>
        <v>夏湘君</v>
      </c>
      <c r="C955" s="6" t="str">
        <f t="shared" si="41"/>
        <v>女</v>
      </c>
      <c r="D955" s="6" t="str">
        <f>"202116011829"</f>
        <v>202116011829</v>
      </c>
      <c r="E955" s="10" t="s">
        <v>20</v>
      </c>
      <c r="F955" s="6" t="s">
        <v>10</v>
      </c>
      <c r="G955" s="8">
        <v>59.55</v>
      </c>
      <c r="H955" s="6"/>
    </row>
    <row r="956" spans="1:8">
      <c r="A956" s="5">
        <v>727</v>
      </c>
      <c r="B956" s="6" t="str">
        <f>"刘芳"</f>
        <v>刘芳</v>
      </c>
      <c r="C956" s="6" t="str">
        <f t="shared" si="41"/>
        <v>女</v>
      </c>
      <c r="D956" s="6" t="str">
        <f>"202116011830"</f>
        <v>202116011830</v>
      </c>
      <c r="E956" s="10" t="s">
        <v>20</v>
      </c>
      <c r="F956" s="6" t="s">
        <v>10</v>
      </c>
      <c r="G956" s="8">
        <v>66.349999999999994</v>
      </c>
      <c r="H956" s="6"/>
    </row>
    <row r="957" spans="1:8">
      <c r="A957" s="5">
        <v>849</v>
      </c>
      <c r="B957" s="6" t="str">
        <f>"刘佳敏"</f>
        <v>刘佳敏</v>
      </c>
      <c r="C957" s="6" t="str">
        <f t="shared" si="41"/>
        <v>女</v>
      </c>
      <c r="D957" s="6" t="str">
        <f>"202116011901"</f>
        <v>202116011901</v>
      </c>
      <c r="E957" s="10" t="s">
        <v>20</v>
      </c>
      <c r="F957" s="6" t="s">
        <v>10</v>
      </c>
      <c r="G957" s="8">
        <v>0</v>
      </c>
      <c r="H957" s="9">
        <v>1</v>
      </c>
    </row>
    <row r="958" spans="1:8">
      <c r="A958" s="5">
        <v>827</v>
      </c>
      <c r="B958" s="6" t="str">
        <f>"刘诗雨"</f>
        <v>刘诗雨</v>
      </c>
      <c r="C958" s="6" t="str">
        <f t="shared" si="41"/>
        <v>女</v>
      </c>
      <c r="D958" s="6" t="str">
        <f>"202116011902"</f>
        <v>202116011902</v>
      </c>
      <c r="E958" s="10" t="s">
        <v>20</v>
      </c>
      <c r="F958" s="6" t="s">
        <v>10</v>
      </c>
      <c r="G958" s="8">
        <v>63.8</v>
      </c>
      <c r="H958" s="6"/>
    </row>
    <row r="959" spans="1:8">
      <c r="A959" s="5">
        <v>771</v>
      </c>
      <c r="B959" s="6" t="str">
        <f>"滕盼"</f>
        <v>滕盼</v>
      </c>
      <c r="C959" s="6" t="str">
        <f t="shared" si="41"/>
        <v>女</v>
      </c>
      <c r="D959" s="6" t="str">
        <f>"202116011903"</f>
        <v>202116011903</v>
      </c>
      <c r="E959" s="10" t="s">
        <v>20</v>
      </c>
      <c r="F959" s="6" t="s">
        <v>10</v>
      </c>
      <c r="G959" s="8">
        <v>61.4</v>
      </c>
      <c r="H959" s="6"/>
    </row>
    <row r="960" spans="1:8">
      <c r="A960" s="5">
        <v>716</v>
      </c>
      <c r="B960" s="6" t="str">
        <f>"佘聪"</f>
        <v>佘聪</v>
      </c>
      <c r="C960" s="6" t="str">
        <f t="shared" si="41"/>
        <v>女</v>
      </c>
      <c r="D960" s="6" t="str">
        <f>"202116011904"</f>
        <v>202116011904</v>
      </c>
      <c r="E960" s="10" t="s">
        <v>20</v>
      </c>
      <c r="F960" s="6" t="s">
        <v>10</v>
      </c>
      <c r="G960" s="8">
        <v>47.95</v>
      </c>
      <c r="H960" s="6"/>
    </row>
    <row r="961" spans="1:8">
      <c r="A961" s="5">
        <v>746</v>
      </c>
      <c r="B961" s="6" t="str">
        <f>"蒋艳芳"</f>
        <v>蒋艳芳</v>
      </c>
      <c r="C961" s="6" t="str">
        <f t="shared" si="41"/>
        <v>女</v>
      </c>
      <c r="D961" s="6" t="str">
        <f>"202116011905"</f>
        <v>202116011905</v>
      </c>
      <c r="E961" s="10" t="s">
        <v>20</v>
      </c>
      <c r="F961" s="6" t="s">
        <v>10</v>
      </c>
      <c r="G961" s="8">
        <v>48</v>
      </c>
      <c r="H961" s="6"/>
    </row>
    <row r="962" spans="1:8">
      <c r="A962" s="5">
        <v>783</v>
      </c>
      <c r="B962" s="6" t="str">
        <f>"唐禹"</f>
        <v>唐禹</v>
      </c>
      <c r="C962" s="6" t="str">
        <f t="shared" si="41"/>
        <v>女</v>
      </c>
      <c r="D962" s="6" t="str">
        <f>"202116011906"</f>
        <v>202116011906</v>
      </c>
      <c r="E962" s="10" t="s">
        <v>20</v>
      </c>
      <c r="F962" s="6" t="s">
        <v>10</v>
      </c>
      <c r="G962" s="8">
        <v>60.3</v>
      </c>
      <c r="H962" s="6"/>
    </row>
    <row r="963" spans="1:8">
      <c r="A963" s="5">
        <v>692</v>
      </c>
      <c r="B963" s="6" t="str">
        <f>"陈珍雅"</f>
        <v>陈珍雅</v>
      </c>
      <c r="C963" s="6" t="str">
        <f t="shared" si="41"/>
        <v>女</v>
      </c>
      <c r="D963" s="6" t="str">
        <f>"202116011907"</f>
        <v>202116011907</v>
      </c>
      <c r="E963" s="10" t="s">
        <v>20</v>
      </c>
      <c r="F963" s="6" t="s">
        <v>10</v>
      </c>
      <c r="G963" s="8">
        <v>0</v>
      </c>
      <c r="H963" s="9">
        <v>1</v>
      </c>
    </row>
    <row r="964" spans="1:8">
      <c r="A964" s="5">
        <v>728</v>
      </c>
      <c r="B964" s="6" t="str">
        <f>"黄媛媛"</f>
        <v>黄媛媛</v>
      </c>
      <c r="C964" s="6" t="str">
        <f t="shared" si="41"/>
        <v>女</v>
      </c>
      <c r="D964" s="6" t="str">
        <f>"202116011908"</f>
        <v>202116011908</v>
      </c>
      <c r="E964" s="10" t="s">
        <v>20</v>
      </c>
      <c r="F964" s="6" t="s">
        <v>10</v>
      </c>
      <c r="G964" s="8">
        <v>70.349999999999994</v>
      </c>
      <c r="H964" s="6"/>
    </row>
    <row r="965" spans="1:8">
      <c r="A965" s="5">
        <v>761</v>
      </c>
      <c r="B965" s="6" t="str">
        <f>"潘翠玲"</f>
        <v>潘翠玲</v>
      </c>
      <c r="C965" s="6" t="str">
        <f t="shared" si="41"/>
        <v>女</v>
      </c>
      <c r="D965" s="6" t="str">
        <f>"202116011909"</f>
        <v>202116011909</v>
      </c>
      <c r="E965" s="10" t="s">
        <v>20</v>
      </c>
      <c r="F965" s="6" t="s">
        <v>10</v>
      </c>
      <c r="G965" s="8">
        <v>52.75</v>
      </c>
      <c r="H965" s="6"/>
    </row>
    <row r="966" spans="1:8">
      <c r="A966" s="5">
        <v>687</v>
      </c>
      <c r="B966" s="6" t="str">
        <f>"周晗"</f>
        <v>周晗</v>
      </c>
      <c r="C966" s="6" t="str">
        <f t="shared" si="41"/>
        <v>女</v>
      </c>
      <c r="D966" s="6" t="str">
        <f>"202116011910"</f>
        <v>202116011910</v>
      </c>
      <c r="E966" s="10" t="s">
        <v>20</v>
      </c>
      <c r="F966" s="6" t="s">
        <v>10</v>
      </c>
      <c r="G966" s="8">
        <v>0</v>
      </c>
      <c r="H966" s="9">
        <v>1</v>
      </c>
    </row>
    <row r="967" spans="1:8">
      <c r="A967" s="5">
        <v>830</v>
      </c>
      <c r="B967" s="6" t="str">
        <f>"兰姣花"</f>
        <v>兰姣花</v>
      </c>
      <c r="C967" s="6" t="str">
        <f t="shared" si="41"/>
        <v>女</v>
      </c>
      <c r="D967" s="6" t="str">
        <f>"202116011911"</f>
        <v>202116011911</v>
      </c>
      <c r="E967" s="10" t="s">
        <v>20</v>
      </c>
      <c r="F967" s="6" t="s">
        <v>10</v>
      </c>
      <c r="G967" s="8">
        <v>54.95</v>
      </c>
      <c r="H967" s="6"/>
    </row>
    <row r="968" spans="1:8">
      <c r="A968" s="5">
        <v>808</v>
      </c>
      <c r="B968" s="6" t="str">
        <f>"佘瑶琼"</f>
        <v>佘瑶琼</v>
      </c>
      <c r="C968" s="6" t="str">
        <f t="shared" si="41"/>
        <v>女</v>
      </c>
      <c r="D968" s="6" t="str">
        <f>"202116011912"</f>
        <v>202116011912</v>
      </c>
      <c r="E968" s="10" t="s">
        <v>20</v>
      </c>
      <c r="F968" s="6" t="s">
        <v>10</v>
      </c>
      <c r="G968" s="8">
        <v>46.95</v>
      </c>
      <c r="H968" s="6"/>
    </row>
    <row r="969" spans="1:8">
      <c r="A969" s="5">
        <v>785</v>
      </c>
      <c r="B969" s="6" t="str">
        <f>"陈霞"</f>
        <v>陈霞</v>
      </c>
      <c r="C969" s="6" t="str">
        <f t="shared" si="41"/>
        <v>女</v>
      </c>
      <c r="D969" s="6" t="str">
        <f>"202116011913"</f>
        <v>202116011913</v>
      </c>
      <c r="E969" s="10" t="s">
        <v>20</v>
      </c>
      <c r="F969" s="6" t="s">
        <v>10</v>
      </c>
      <c r="G969" s="8">
        <v>63.8</v>
      </c>
      <c r="H969" s="6"/>
    </row>
    <row r="970" spans="1:8">
      <c r="A970" s="5">
        <v>688</v>
      </c>
      <c r="B970" s="6" t="str">
        <f>"刘欢"</f>
        <v>刘欢</v>
      </c>
      <c r="C970" s="6" t="str">
        <f t="shared" si="41"/>
        <v>女</v>
      </c>
      <c r="D970" s="6" t="str">
        <f>"202116011914"</f>
        <v>202116011914</v>
      </c>
      <c r="E970" s="10" t="s">
        <v>20</v>
      </c>
      <c r="F970" s="6" t="s">
        <v>10</v>
      </c>
      <c r="G970" s="8">
        <v>0</v>
      </c>
      <c r="H970" s="9">
        <v>1</v>
      </c>
    </row>
    <row r="971" spans="1:8">
      <c r="A971" s="5">
        <v>763</v>
      </c>
      <c r="B971" s="6" t="str">
        <f>"匡珂"</f>
        <v>匡珂</v>
      </c>
      <c r="C971" s="6" t="str">
        <f t="shared" si="41"/>
        <v>女</v>
      </c>
      <c r="D971" s="6" t="str">
        <f>"202116011915"</f>
        <v>202116011915</v>
      </c>
      <c r="E971" s="10" t="s">
        <v>20</v>
      </c>
      <c r="F971" s="6" t="s">
        <v>10</v>
      </c>
      <c r="G971" s="8">
        <v>60.15</v>
      </c>
      <c r="H971" s="6"/>
    </row>
    <row r="972" spans="1:8">
      <c r="A972" s="5">
        <v>686</v>
      </c>
      <c r="B972" s="6" t="str">
        <f>"肖玮"</f>
        <v>肖玮</v>
      </c>
      <c r="C972" s="6" t="str">
        <f t="shared" si="41"/>
        <v>女</v>
      </c>
      <c r="D972" s="6" t="str">
        <f>"202116011916"</f>
        <v>202116011916</v>
      </c>
      <c r="E972" s="10" t="s">
        <v>20</v>
      </c>
      <c r="F972" s="6" t="s">
        <v>10</v>
      </c>
      <c r="G972" s="8">
        <v>0</v>
      </c>
      <c r="H972" s="9">
        <v>1</v>
      </c>
    </row>
    <row r="973" spans="1:8">
      <c r="A973" s="5">
        <v>694</v>
      </c>
      <c r="B973" s="6" t="str">
        <f>"邹雨晨"</f>
        <v>邹雨晨</v>
      </c>
      <c r="C973" s="6" t="str">
        <f t="shared" si="41"/>
        <v>女</v>
      </c>
      <c r="D973" s="6" t="str">
        <f>"202116011917"</f>
        <v>202116011917</v>
      </c>
      <c r="E973" s="10" t="s">
        <v>20</v>
      </c>
      <c r="F973" s="6" t="s">
        <v>10</v>
      </c>
      <c r="G973" s="8">
        <v>0</v>
      </c>
      <c r="H973" s="9">
        <v>1</v>
      </c>
    </row>
    <row r="974" spans="1:8">
      <c r="A974" s="5">
        <v>817</v>
      </c>
      <c r="B974" s="6" t="str">
        <f>"柴子茹"</f>
        <v>柴子茹</v>
      </c>
      <c r="C974" s="6" t="str">
        <f t="shared" si="41"/>
        <v>女</v>
      </c>
      <c r="D974" s="6" t="str">
        <f>"202116011918"</f>
        <v>202116011918</v>
      </c>
      <c r="E974" s="10" t="s">
        <v>20</v>
      </c>
      <c r="F974" s="6" t="s">
        <v>10</v>
      </c>
      <c r="G974" s="8">
        <v>44.4</v>
      </c>
      <c r="H974" s="6"/>
    </row>
    <row r="975" spans="1:8">
      <c r="A975" s="5">
        <v>725</v>
      </c>
      <c r="B975" s="6" t="str">
        <f>"李小贝"</f>
        <v>李小贝</v>
      </c>
      <c r="C975" s="6" t="str">
        <f t="shared" si="41"/>
        <v>女</v>
      </c>
      <c r="D975" s="6" t="str">
        <f>"202116011919"</f>
        <v>202116011919</v>
      </c>
      <c r="E975" s="10" t="s">
        <v>20</v>
      </c>
      <c r="F975" s="6" t="s">
        <v>10</v>
      </c>
      <c r="G975" s="8">
        <v>56.65</v>
      </c>
      <c r="H975" s="6"/>
    </row>
    <row r="976" spans="1:8">
      <c r="A976" s="5">
        <v>733</v>
      </c>
      <c r="B976" s="6" t="str">
        <f>"雷琳"</f>
        <v>雷琳</v>
      </c>
      <c r="C976" s="6" t="str">
        <f t="shared" si="41"/>
        <v>女</v>
      </c>
      <c r="D976" s="6" t="str">
        <f>"202116011920"</f>
        <v>202116011920</v>
      </c>
      <c r="E976" s="10" t="s">
        <v>20</v>
      </c>
      <c r="F976" s="6" t="s">
        <v>10</v>
      </c>
      <c r="G976" s="8">
        <v>53.1</v>
      </c>
      <c r="H976" s="6"/>
    </row>
    <row r="977" spans="1:8">
      <c r="A977" s="5">
        <v>711</v>
      </c>
      <c r="B977" s="6" t="str">
        <f>"彭甜甜"</f>
        <v>彭甜甜</v>
      </c>
      <c r="C977" s="6" t="str">
        <f t="shared" si="41"/>
        <v>女</v>
      </c>
      <c r="D977" s="6" t="str">
        <f>"202116011921"</f>
        <v>202116011921</v>
      </c>
      <c r="E977" s="10" t="s">
        <v>20</v>
      </c>
      <c r="F977" s="6" t="s">
        <v>10</v>
      </c>
      <c r="G977" s="8">
        <v>54.1</v>
      </c>
      <c r="H977" s="6"/>
    </row>
    <row r="978" spans="1:8">
      <c r="A978" s="5">
        <v>700</v>
      </c>
      <c r="B978" s="6" t="str">
        <f>"蒋莉"</f>
        <v>蒋莉</v>
      </c>
      <c r="C978" s="6" t="str">
        <f t="shared" si="41"/>
        <v>女</v>
      </c>
      <c r="D978" s="6" t="str">
        <f>"202116011922"</f>
        <v>202116011922</v>
      </c>
      <c r="E978" s="10" t="s">
        <v>20</v>
      </c>
      <c r="F978" s="6" t="s">
        <v>10</v>
      </c>
      <c r="G978" s="8">
        <v>64.599999999999994</v>
      </c>
      <c r="H978" s="6"/>
    </row>
    <row r="979" spans="1:8">
      <c r="A979" s="5">
        <v>713</v>
      </c>
      <c r="B979" s="6" t="str">
        <f>"王婷"</f>
        <v>王婷</v>
      </c>
      <c r="C979" s="6" t="str">
        <f t="shared" si="41"/>
        <v>女</v>
      </c>
      <c r="D979" s="6" t="str">
        <f>"202116011923"</f>
        <v>202116011923</v>
      </c>
      <c r="E979" s="10" t="s">
        <v>20</v>
      </c>
      <c r="F979" s="6" t="s">
        <v>10</v>
      </c>
      <c r="G979" s="8">
        <v>55.7</v>
      </c>
      <c r="H979" s="6"/>
    </row>
    <row r="980" spans="1:8">
      <c r="A980" s="5">
        <v>795</v>
      </c>
      <c r="B980" s="6" t="str">
        <f>"毛彩艳"</f>
        <v>毛彩艳</v>
      </c>
      <c r="C980" s="6" t="str">
        <f t="shared" si="41"/>
        <v>女</v>
      </c>
      <c r="D980" s="6" t="str">
        <f>"202116011924"</f>
        <v>202116011924</v>
      </c>
      <c r="E980" s="10" t="s">
        <v>20</v>
      </c>
      <c r="F980" s="6" t="s">
        <v>10</v>
      </c>
      <c r="G980" s="8">
        <v>58.4</v>
      </c>
      <c r="H980" s="6"/>
    </row>
    <row r="981" spans="1:8">
      <c r="A981" s="5">
        <v>764</v>
      </c>
      <c r="B981" s="6" t="str">
        <f>"肖玲娟"</f>
        <v>肖玲娟</v>
      </c>
      <c r="C981" s="6" t="str">
        <f t="shared" si="41"/>
        <v>女</v>
      </c>
      <c r="D981" s="6" t="str">
        <f>"202116011925"</f>
        <v>202116011925</v>
      </c>
      <c r="E981" s="10" t="s">
        <v>20</v>
      </c>
      <c r="F981" s="6" t="s">
        <v>10</v>
      </c>
      <c r="G981" s="8">
        <v>50.65</v>
      </c>
      <c r="H981" s="6"/>
    </row>
    <row r="982" spans="1:8">
      <c r="A982" s="5">
        <v>821</v>
      </c>
      <c r="B982" s="6" t="str">
        <f>"肖宇君"</f>
        <v>肖宇君</v>
      </c>
      <c r="C982" s="6" t="str">
        <f t="shared" si="41"/>
        <v>女</v>
      </c>
      <c r="D982" s="6" t="str">
        <f>"202116011926"</f>
        <v>202116011926</v>
      </c>
      <c r="E982" s="10" t="s">
        <v>20</v>
      </c>
      <c r="F982" s="6" t="s">
        <v>10</v>
      </c>
      <c r="G982" s="8">
        <v>68.55</v>
      </c>
      <c r="H982" s="6"/>
    </row>
    <row r="983" spans="1:8">
      <c r="A983" s="5">
        <v>803</v>
      </c>
      <c r="B983" s="6" t="str">
        <f>"刘艳姣"</f>
        <v>刘艳姣</v>
      </c>
      <c r="C983" s="6" t="str">
        <f t="shared" si="41"/>
        <v>女</v>
      </c>
      <c r="D983" s="6" t="str">
        <f>"202116011927"</f>
        <v>202116011927</v>
      </c>
      <c r="E983" s="10" t="s">
        <v>20</v>
      </c>
      <c r="F983" s="6" t="s">
        <v>10</v>
      </c>
      <c r="G983" s="8">
        <v>53.85</v>
      </c>
      <c r="H983" s="6"/>
    </row>
    <row r="984" spans="1:8">
      <c r="A984" s="5">
        <v>801</v>
      </c>
      <c r="B984" s="6" t="str">
        <f>"郭珍"</f>
        <v>郭珍</v>
      </c>
      <c r="C984" s="6" t="str">
        <f t="shared" ref="C984:C1015" si="42">"女"</f>
        <v>女</v>
      </c>
      <c r="D984" s="6" t="str">
        <f>"202116011928"</f>
        <v>202116011928</v>
      </c>
      <c r="E984" s="10" t="s">
        <v>20</v>
      </c>
      <c r="F984" s="6" t="s">
        <v>10</v>
      </c>
      <c r="G984" s="8">
        <v>57.85</v>
      </c>
      <c r="H984" s="6"/>
    </row>
    <row r="985" spans="1:8">
      <c r="A985" s="5">
        <v>794</v>
      </c>
      <c r="B985" s="6" t="str">
        <f>"李港澳"</f>
        <v>李港澳</v>
      </c>
      <c r="C985" s="6" t="str">
        <f t="shared" si="42"/>
        <v>女</v>
      </c>
      <c r="D985" s="6" t="str">
        <f>"202116011929"</f>
        <v>202116011929</v>
      </c>
      <c r="E985" s="10" t="s">
        <v>20</v>
      </c>
      <c r="F985" s="6" t="s">
        <v>10</v>
      </c>
      <c r="G985" s="8">
        <v>57.7</v>
      </c>
      <c r="H985" s="6"/>
    </row>
    <row r="986" spans="1:8">
      <c r="A986" s="5">
        <v>804</v>
      </c>
      <c r="B986" s="6" t="str">
        <f>"汤雪婷"</f>
        <v>汤雪婷</v>
      </c>
      <c r="C986" s="6" t="str">
        <f t="shared" si="42"/>
        <v>女</v>
      </c>
      <c r="D986" s="6" t="str">
        <f>"202116011930"</f>
        <v>202116011930</v>
      </c>
      <c r="E986" s="10" t="s">
        <v>20</v>
      </c>
      <c r="F986" s="6" t="s">
        <v>10</v>
      </c>
      <c r="G986" s="8">
        <v>57.1</v>
      </c>
      <c r="H986" s="6"/>
    </row>
    <row r="987" spans="1:8">
      <c r="A987" s="5">
        <v>718</v>
      </c>
      <c r="B987" s="6" t="str">
        <f>"刘思雨"</f>
        <v>刘思雨</v>
      </c>
      <c r="C987" s="6" t="str">
        <f t="shared" si="42"/>
        <v>女</v>
      </c>
      <c r="D987" s="6" t="str">
        <f>"202116012001"</f>
        <v>202116012001</v>
      </c>
      <c r="E987" s="10" t="s">
        <v>20</v>
      </c>
      <c r="F987" s="6" t="s">
        <v>10</v>
      </c>
      <c r="G987" s="8">
        <v>57.75</v>
      </c>
      <c r="H987" s="6"/>
    </row>
    <row r="988" spans="1:8">
      <c r="A988" s="5">
        <v>732</v>
      </c>
      <c r="B988" s="6" t="str">
        <f>"肖秀枝"</f>
        <v>肖秀枝</v>
      </c>
      <c r="C988" s="6" t="str">
        <f t="shared" si="42"/>
        <v>女</v>
      </c>
      <c r="D988" s="6" t="str">
        <f>"202116012002"</f>
        <v>202116012002</v>
      </c>
      <c r="E988" s="10" t="s">
        <v>20</v>
      </c>
      <c r="F988" s="6" t="s">
        <v>10</v>
      </c>
      <c r="G988" s="8">
        <v>0</v>
      </c>
      <c r="H988" s="9">
        <v>1</v>
      </c>
    </row>
    <row r="989" spans="1:8">
      <c r="A989" s="5">
        <v>789</v>
      </c>
      <c r="B989" s="6" t="str">
        <f>"黄碧如"</f>
        <v>黄碧如</v>
      </c>
      <c r="C989" s="6" t="str">
        <f t="shared" si="42"/>
        <v>女</v>
      </c>
      <c r="D989" s="6" t="str">
        <f>"202116012003"</f>
        <v>202116012003</v>
      </c>
      <c r="E989" s="10" t="s">
        <v>20</v>
      </c>
      <c r="F989" s="6" t="s">
        <v>10</v>
      </c>
      <c r="G989" s="8">
        <v>66.75</v>
      </c>
      <c r="H989" s="6"/>
    </row>
    <row r="990" spans="1:8">
      <c r="A990" s="5">
        <v>750</v>
      </c>
      <c r="B990" s="6" t="str">
        <f>"杨晴"</f>
        <v>杨晴</v>
      </c>
      <c r="C990" s="6" t="str">
        <f t="shared" si="42"/>
        <v>女</v>
      </c>
      <c r="D990" s="6" t="str">
        <f>"202116012004"</f>
        <v>202116012004</v>
      </c>
      <c r="E990" s="10" t="s">
        <v>20</v>
      </c>
      <c r="F990" s="6" t="s">
        <v>10</v>
      </c>
      <c r="G990" s="8">
        <v>67.95</v>
      </c>
      <c r="H990" s="6"/>
    </row>
    <row r="991" spans="1:8">
      <c r="A991" s="5">
        <v>726</v>
      </c>
      <c r="B991" s="6" t="str">
        <f>"刘敏敏"</f>
        <v>刘敏敏</v>
      </c>
      <c r="C991" s="6" t="str">
        <f t="shared" si="42"/>
        <v>女</v>
      </c>
      <c r="D991" s="6" t="str">
        <f>"202116012005"</f>
        <v>202116012005</v>
      </c>
      <c r="E991" s="10" t="s">
        <v>20</v>
      </c>
      <c r="F991" s="6" t="s">
        <v>10</v>
      </c>
      <c r="G991" s="8">
        <v>63.45</v>
      </c>
      <c r="H991" s="6"/>
    </row>
    <row r="992" spans="1:8">
      <c r="A992" s="5">
        <v>786</v>
      </c>
      <c r="B992" s="6" t="str">
        <f>"游媛"</f>
        <v>游媛</v>
      </c>
      <c r="C992" s="6" t="str">
        <f t="shared" si="42"/>
        <v>女</v>
      </c>
      <c r="D992" s="6" t="str">
        <f>"202116012006"</f>
        <v>202116012006</v>
      </c>
      <c r="E992" s="10" t="s">
        <v>20</v>
      </c>
      <c r="F992" s="6" t="s">
        <v>10</v>
      </c>
      <c r="G992" s="8">
        <v>45.4</v>
      </c>
      <c r="H992" s="6"/>
    </row>
    <row r="993" spans="1:8">
      <c r="A993" s="5">
        <v>775</v>
      </c>
      <c r="B993" s="6" t="str">
        <f>"肖文颖"</f>
        <v>肖文颖</v>
      </c>
      <c r="C993" s="6" t="str">
        <f t="shared" si="42"/>
        <v>女</v>
      </c>
      <c r="D993" s="6" t="str">
        <f>"202116012007"</f>
        <v>202116012007</v>
      </c>
      <c r="E993" s="10" t="s">
        <v>20</v>
      </c>
      <c r="F993" s="6" t="s">
        <v>10</v>
      </c>
      <c r="G993" s="8">
        <v>59.7</v>
      </c>
      <c r="H993" s="6"/>
    </row>
    <row r="994" spans="1:8">
      <c r="A994" s="5">
        <v>833</v>
      </c>
      <c r="B994" s="6" t="str">
        <f>"田倩"</f>
        <v>田倩</v>
      </c>
      <c r="C994" s="6" t="str">
        <f t="shared" si="42"/>
        <v>女</v>
      </c>
      <c r="D994" s="6" t="str">
        <f>"202116012008"</f>
        <v>202116012008</v>
      </c>
      <c r="E994" s="10" t="s">
        <v>20</v>
      </c>
      <c r="F994" s="6" t="s">
        <v>10</v>
      </c>
      <c r="G994" s="8">
        <v>70.900000000000006</v>
      </c>
      <c r="H994" s="6"/>
    </row>
    <row r="995" spans="1:8">
      <c r="A995" s="5">
        <v>704</v>
      </c>
      <c r="B995" s="6" t="str">
        <f>"李翠"</f>
        <v>李翠</v>
      </c>
      <c r="C995" s="6" t="str">
        <f t="shared" si="42"/>
        <v>女</v>
      </c>
      <c r="D995" s="6" t="str">
        <f>"202116012009"</f>
        <v>202116012009</v>
      </c>
      <c r="E995" s="10" t="s">
        <v>20</v>
      </c>
      <c r="F995" s="6" t="s">
        <v>10</v>
      </c>
      <c r="G995" s="8">
        <v>63.3</v>
      </c>
      <c r="H995" s="6"/>
    </row>
    <row r="996" spans="1:8">
      <c r="A996" s="5">
        <v>758</v>
      </c>
      <c r="B996" s="6" t="str">
        <f>"张蓉"</f>
        <v>张蓉</v>
      </c>
      <c r="C996" s="6" t="str">
        <f t="shared" si="42"/>
        <v>女</v>
      </c>
      <c r="D996" s="6" t="str">
        <f>"202116012010"</f>
        <v>202116012010</v>
      </c>
      <c r="E996" s="10" t="s">
        <v>20</v>
      </c>
      <c r="F996" s="6" t="s">
        <v>10</v>
      </c>
      <c r="G996" s="8">
        <v>54</v>
      </c>
      <c r="H996" s="6"/>
    </row>
    <row r="997" spans="1:8">
      <c r="A997" s="5">
        <v>710</v>
      </c>
      <c r="B997" s="6" t="str">
        <f>"刘晶"</f>
        <v>刘晶</v>
      </c>
      <c r="C997" s="6" t="str">
        <f t="shared" si="42"/>
        <v>女</v>
      </c>
      <c r="D997" s="6" t="str">
        <f>"202116012011"</f>
        <v>202116012011</v>
      </c>
      <c r="E997" s="10" t="s">
        <v>20</v>
      </c>
      <c r="F997" s="6" t="s">
        <v>10</v>
      </c>
      <c r="G997" s="8">
        <v>57.8</v>
      </c>
      <c r="H997" s="6"/>
    </row>
    <row r="998" spans="1:8">
      <c r="A998" s="5">
        <v>748</v>
      </c>
      <c r="B998" s="6" t="str">
        <f>"邓静"</f>
        <v>邓静</v>
      </c>
      <c r="C998" s="6" t="str">
        <f t="shared" si="42"/>
        <v>女</v>
      </c>
      <c r="D998" s="6" t="str">
        <f>"202116012012"</f>
        <v>202116012012</v>
      </c>
      <c r="E998" s="10" t="s">
        <v>20</v>
      </c>
      <c r="F998" s="6" t="s">
        <v>10</v>
      </c>
      <c r="G998" s="8">
        <v>55.95</v>
      </c>
      <c r="H998" s="6"/>
    </row>
    <row r="999" spans="1:8">
      <c r="A999" s="5">
        <v>780</v>
      </c>
      <c r="B999" s="6" t="str">
        <f>"屈贤毅"</f>
        <v>屈贤毅</v>
      </c>
      <c r="C999" s="6" t="str">
        <f t="shared" si="42"/>
        <v>女</v>
      </c>
      <c r="D999" s="6" t="str">
        <f>"202116012013"</f>
        <v>202116012013</v>
      </c>
      <c r="E999" s="10" t="s">
        <v>20</v>
      </c>
      <c r="F999" s="6" t="s">
        <v>10</v>
      </c>
      <c r="G999" s="8">
        <v>47.85</v>
      </c>
      <c r="H999" s="6"/>
    </row>
    <row r="1000" spans="1:8">
      <c r="A1000" s="5">
        <v>684</v>
      </c>
      <c r="B1000" s="6" t="str">
        <f>"伍彬"</f>
        <v>伍彬</v>
      </c>
      <c r="C1000" s="6" t="str">
        <f t="shared" si="42"/>
        <v>女</v>
      </c>
      <c r="D1000" s="6" t="str">
        <f>"202116012014"</f>
        <v>202116012014</v>
      </c>
      <c r="E1000" s="10" t="s">
        <v>20</v>
      </c>
      <c r="F1000" s="6" t="s">
        <v>10</v>
      </c>
      <c r="G1000" s="8">
        <v>0</v>
      </c>
      <c r="H1000" s="9">
        <v>1</v>
      </c>
    </row>
    <row r="1001" spans="1:8">
      <c r="A1001" s="5">
        <v>749</v>
      </c>
      <c r="B1001" s="6" t="str">
        <f>"申恃宇"</f>
        <v>申恃宇</v>
      </c>
      <c r="C1001" s="6" t="str">
        <f t="shared" si="42"/>
        <v>女</v>
      </c>
      <c r="D1001" s="6" t="str">
        <f>"202116012015"</f>
        <v>202116012015</v>
      </c>
      <c r="E1001" s="10" t="s">
        <v>20</v>
      </c>
      <c r="F1001" s="6" t="s">
        <v>10</v>
      </c>
      <c r="G1001" s="8">
        <v>41.95</v>
      </c>
      <c r="H1001" s="6"/>
    </row>
    <row r="1002" spans="1:8">
      <c r="A1002" s="5">
        <v>796</v>
      </c>
      <c r="B1002" s="6" t="str">
        <f>"肖可业"</f>
        <v>肖可业</v>
      </c>
      <c r="C1002" s="6" t="str">
        <f t="shared" si="42"/>
        <v>女</v>
      </c>
      <c r="D1002" s="6" t="str">
        <f>"202116012016"</f>
        <v>202116012016</v>
      </c>
      <c r="E1002" s="10" t="s">
        <v>20</v>
      </c>
      <c r="F1002" s="6" t="s">
        <v>10</v>
      </c>
      <c r="G1002" s="8">
        <v>57.2</v>
      </c>
      <c r="H1002" s="6"/>
    </row>
    <row r="1003" spans="1:8">
      <c r="A1003" s="5">
        <v>820</v>
      </c>
      <c r="B1003" s="6" t="str">
        <f>"祝婷"</f>
        <v>祝婷</v>
      </c>
      <c r="C1003" s="6" t="str">
        <f t="shared" si="42"/>
        <v>女</v>
      </c>
      <c r="D1003" s="6" t="str">
        <f>"202116012017"</f>
        <v>202116012017</v>
      </c>
      <c r="E1003" s="10" t="s">
        <v>20</v>
      </c>
      <c r="F1003" s="6" t="s">
        <v>10</v>
      </c>
      <c r="G1003" s="8">
        <v>45.35</v>
      </c>
      <c r="H1003" s="6"/>
    </row>
    <row r="1004" spans="1:8">
      <c r="A1004" s="5">
        <v>778</v>
      </c>
      <c r="B1004" s="6" t="str">
        <f>"左佳琳"</f>
        <v>左佳琳</v>
      </c>
      <c r="C1004" s="6" t="str">
        <f t="shared" si="42"/>
        <v>女</v>
      </c>
      <c r="D1004" s="6" t="str">
        <f>"202116012018"</f>
        <v>202116012018</v>
      </c>
      <c r="E1004" s="10" t="s">
        <v>20</v>
      </c>
      <c r="F1004" s="6" t="s">
        <v>10</v>
      </c>
      <c r="G1004" s="8">
        <v>56.5</v>
      </c>
      <c r="H1004" s="6"/>
    </row>
    <row r="1005" spans="1:8">
      <c r="A1005" s="5">
        <v>759</v>
      </c>
      <c r="B1005" s="6" t="str">
        <f>"刘茂瑶"</f>
        <v>刘茂瑶</v>
      </c>
      <c r="C1005" s="6" t="str">
        <f t="shared" si="42"/>
        <v>女</v>
      </c>
      <c r="D1005" s="6" t="str">
        <f>"202116012019"</f>
        <v>202116012019</v>
      </c>
      <c r="E1005" s="10" t="s">
        <v>20</v>
      </c>
      <c r="F1005" s="6" t="s">
        <v>10</v>
      </c>
      <c r="G1005" s="8">
        <v>0</v>
      </c>
      <c r="H1005" s="9">
        <v>1</v>
      </c>
    </row>
    <row r="1006" spans="1:8">
      <c r="A1006" s="5">
        <v>739</v>
      </c>
      <c r="B1006" s="6" t="str">
        <f>"汤少羽"</f>
        <v>汤少羽</v>
      </c>
      <c r="C1006" s="6" t="str">
        <f t="shared" si="42"/>
        <v>女</v>
      </c>
      <c r="D1006" s="6" t="str">
        <f>"202116012020"</f>
        <v>202116012020</v>
      </c>
      <c r="E1006" s="10" t="s">
        <v>20</v>
      </c>
      <c r="F1006" s="6" t="s">
        <v>10</v>
      </c>
      <c r="G1006" s="8">
        <v>50.6</v>
      </c>
      <c r="H1006" s="6"/>
    </row>
    <row r="1007" spans="1:8">
      <c r="A1007" s="5">
        <v>767</v>
      </c>
      <c r="B1007" s="6" t="str">
        <f>"刘淑健"</f>
        <v>刘淑健</v>
      </c>
      <c r="C1007" s="6" t="str">
        <f t="shared" si="42"/>
        <v>女</v>
      </c>
      <c r="D1007" s="6" t="str">
        <f>"202116012021"</f>
        <v>202116012021</v>
      </c>
      <c r="E1007" s="10" t="s">
        <v>20</v>
      </c>
      <c r="F1007" s="6" t="s">
        <v>10</v>
      </c>
      <c r="G1007" s="8">
        <v>58.5</v>
      </c>
      <c r="H1007" s="6"/>
    </row>
    <row r="1008" spans="1:8">
      <c r="A1008" s="5">
        <v>722</v>
      </c>
      <c r="B1008" s="6" t="str">
        <f>"邓计男"</f>
        <v>邓计男</v>
      </c>
      <c r="C1008" s="6" t="str">
        <f t="shared" si="42"/>
        <v>女</v>
      </c>
      <c r="D1008" s="6" t="str">
        <f>"202116012022"</f>
        <v>202116012022</v>
      </c>
      <c r="E1008" s="10" t="s">
        <v>20</v>
      </c>
      <c r="F1008" s="6" t="s">
        <v>10</v>
      </c>
      <c r="G1008" s="8">
        <v>66.349999999999994</v>
      </c>
      <c r="H1008" s="6"/>
    </row>
    <row r="1009" spans="1:8">
      <c r="A1009" s="5">
        <v>784</v>
      </c>
      <c r="B1009" s="6" t="str">
        <f>"张宋兰"</f>
        <v>张宋兰</v>
      </c>
      <c r="C1009" s="6" t="str">
        <f t="shared" si="42"/>
        <v>女</v>
      </c>
      <c r="D1009" s="6" t="str">
        <f>"202116012023"</f>
        <v>202116012023</v>
      </c>
      <c r="E1009" s="10" t="s">
        <v>20</v>
      </c>
      <c r="F1009" s="6" t="s">
        <v>10</v>
      </c>
      <c r="G1009" s="8">
        <v>0</v>
      </c>
      <c r="H1009" s="9">
        <v>1</v>
      </c>
    </row>
    <row r="1010" spans="1:8">
      <c r="A1010" s="5">
        <v>747</v>
      </c>
      <c r="B1010" s="6" t="str">
        <f>"刘佳豪"</f>
        <v>刘佳豪</v>
      </c>
      <c r="C1010" s="6" t="str">
        <f t="shared" si="42"/>
        <v>女</v>
      </c>
      <c r="D1010" s="6" t="str">
        <f>"202116012024"</f>
        <v>202116012024</v>
      </c>
      <c r="E1010" s="10" t="s">
        <v>20</v>
      </c>
      <c r="F1010" s="6" t="s">
        <v>10</v>
      </c>
      <c r="G1010" s="8">
        <v>51.5</v>
      </c>
      <c r="H1010" s="6"/>
    </row>
    <row r="1011" spans="1:8">
      <c r="A1011" s="5">
        <v>752</v>
      </c>
      <c r="B1011" s="6" t="str">
        <f>"谭文佳"</f>
        <v>谭文佳</v>
      </c>
      <c r="C1011" s="6" t="str">
        <f t="shared" si="42"/>
        <v>女</v>
      </c>
      <c r="D1011" s="6" t="str">
        <f>"202116012025"</f>
        <v>202116012025</v>
      </c>
      <c r="E1011" s="10" t="s">
        <v>20</v>
      </c>
      <c r="F1011" s="6" t="s">
        <v>10</v>
      </c>
      <c r="G1011" s="8">
        <v>61.3</v>
      </c>
      <c r="H1011" s="6"/>
    </row>
    <row r="1012" spans="1:8">
      <c r="A1012" s="5">
        <v>695</v>
      </c>
      <c r="B1012" s="6" t="str">
        <f>"杜春艳"</f>
        <v>杜春艳</v>
      </c>
      <c r="C1012" s="6" t="str">
        <f t="shared" si="42"/>
        <v>女</v>
      </c>
      <c r="D1012" s="6" t="str">
        <f>"202116012026"</f>
        <v>202116012026</v>
      </c>
      <c r="E1012" s="10" t="s">
        <v>20</v>
      </c>
      <c r="F1012" s="6" t="s">
        <v>10</v>
      </c>
      <c r="G1012" s="8">
        <v>0</v>
      </c>
      <c r="H1012" s="9">
        <v>1</v>
      </c>
    </row>
    <row r="1013" spans="1:8">
      <c r="A1013" s="5">
        <v>708</v>
      </c>
      <c r="B1013" s="6" t="str">
        <f>"曾秀巧"</f>
        <v>曾秀巧</v>
      </c>
      <c r="C1013" s="6" t="str">
        <f t="shared" si="42"/>
        <v>女</v>
      </c>
      <c r="D1013" s="6" t="str">
        <f>"202116012027"</f>
        <v>202116012027</v>
      </c>
      <c r="E1013" s="10" t="s">
        <v>20</v>
      </c>
      <c r="F1013" s="6" t="s">
        <v>10</v>
      </c>
      <c r="G1013" s="8">
        <v>64.5</v>
      </c>
      <c r="H1013" s="6"/>
    </row>
    <row r="1014" spans="1:8">
      <c r="A1014" s="5">
        <v>847</v>
      </c>
      <c r="B1014" s="6" t="str">
        <f>"吴忠娥"</f>
        <v>吴忠娥</v>
      </c>
      <c r="C1014" s="6" t="str">
        <f t="shared" si="42"/>
        <v>女</v>
      </c>
      <c r="D1014" s="6" t="str">
        <f>"202116012028"</f>
        <v>202116012028</v>
      </c>
      <c r="E1014" s="10" t="s">
        <v>20</v>
      </c>
      <c r="F1014" s="6" t="s">
        <v>10</v>
      </c>
      <c r="G1014" s="8">
        <v>62.2</v>
      </c>
      <c r="H1014" s="6"/>
    </row>
    <row r="1015" spans="1:8">
      <c r="A1015" s="5">
        <v>754</v>
      </c>
      <c r="B1015" s="6" t="str">
        <f>"马莎莉"</f>
        <v>马莎莉</v>
      </c>
      <c r="C1015" s="6" t="str">
        <f t="shared" si="42"/>
        <v>女</v>
      </c>
      <c r="D1015" s="6" t="str">
        <f>"202116012029"</f>
        <v>202116012029</v>
      </c>
      <c r="E1015" s="10" t="s">
        <v>20</v>
      </c>
      <c r="F1015" s="6" t="s">
        <v>10</v>
      </c>
      <c r="G1015" s="8">
        <v>57.15</v>
      </c>
      <c r="H1015" s="6"/>
    </row>
    <row r="1016" spans="1:8">
      <c r="A1016" s="5">
        <v>737</v>
      </c>
      <c r="B1016" s="6" t="str">
        <f>"谢林芬"</f>
        <v>谢林芬</v>
      </c>
      <c r="C1016" s="6" t="str">
        <f t="shared" ref="C1016:C1051" si="43">"女"</f>
        <v>女</v>
      </c>
      <c r="D1016" s="6" t="str">
        <f>"202116012030"</f>
        <v>202116012030</v>
      </c>
      <c r="E1016" s="10" t="s">
        <v>20</v>
      </c>
      <c r="F1016" s="6" t="s">
        <v>10</v>
      </c>
      <c r="G1016" s="8">
        <v>64.900000000000006</v>
      </c>
      <c r="H1016" s="6"/>
    </row>
    <row r="1017" spans="1:8">
      <c r="A1017" s="5">
        <v>822</v>
      </c>
      <c r="B1017" s="6" t="str">
        <f>"占思雨"</f>
        <v>占思雨</v>
      </c>
      <c r="C1017" s="6" t="str">
        <f t="shared" si="43"/>
        <v>女</v>
      </c>
      <c r="D1017" s="6" t="str">
        <f>"202116012101"</f>
        <v>202116012101</v>
      </c>
      <c r="E1017" s="10" t="s">
        <v>20</v>
      </c>
      <c r="F1017" s="6" t="s">
        <v>10</v>
      </c>
      <c r="G1017" s="8">
        <v>54.45</v>
      </c>
      <c r="H1017" s="6"/>
    </row>
    <row r="1018" spans="1:8">
      <c r="A1018" s="5">
        <v>744</v>
      </c>
      <c r="B1018" s="6" t="str">
        <f>"范榕"</f>
        <v>范榕</v>
      </c>
      <c r="C1018" s="6" t="str">
        <f t="shared" si="43"/>
        <v>女</v>
      </c>
      <c r="D1018" s="6" t="str">
        <f>"202116012102"</f>
        <v>202116012102</v>
      </c>
      <c r="E1018" s="10" t="s">
        <v>20</v>
      </c>
      <c r="F1018" s="6" t="s">
        <v>10</v>
      </c>
      <c r="G1018" s="8">
        <v>55.3</v>
      </c>
      <c r="H1018" s="6"/>
    </row>
    <row r="1019" spans="1:8">
      <c r="A1019" s="5">
        <v>791</v>
      </c>
      <c r="B1019" s="6" t="str">
        <f>"毛秀兰"</f>
        <v>毛秀兰</v>
      </c>
      <c r="C1019" s="6" t="str">
        <f t="shared" si="43"/>
        <v>女</v>
      </c>
      <c r="D1019" s="6" t="str">
        <f>"202116012103"</f>
        <v>202116012103</v>
      </c>
      <c r="E1019" s="10" t="s">
        <v>20</v>
      </c>
      <c r="F1019" s="6" t="s">
        <v>10</v>
      </c>
      <c r="G1019" s="8">
        <v>49.4</v>
      </c>
      <c r="H1019" s="6"/>
    </row>
    <row r="1020" spans="1:8">
      <c r="A1020" s="5">
        <v>745</v>
      </c>
      <c r="B1020" s="6" t="str">
        <f>"廖海鸽"</f>
        <v>廖海鸽</v>
      </c>
      <c r="C1020" s="6" t="str">
        <f t="shared" si="43"/>
        <v>女</v>
      </c>
      <c r="D1020" s="6" t="str">
        <f>"202116012104"</f>
        <v>202116012104</v>
      </c>
      <c r="E1020" s="10" t="s">
        <v>20</v>
      </c>
      <c r="F1020" s="6" t="s">
        <v>10</v>
      </c>
      <c r="G1020" s="8">
        <v>0</v>
      </c>
      <c r="H1020" s="9">
        <v>1</v>
      </c>
    </row>
    <row r="1021" spans="1:8">
      <c r="A1021" s="5">
        <v>773</v>
      </c>
      <c r="B1021" s="6" t="str">
        <f>"龙俊琴"</f>
        <v>龙俊琴</v>
      </c>
      <c r="C1021" s="6" t="str">
        <f t="shared" si="43"/>
        <v>女</v>
      </c>
      <c r="D1021" s="6" t="str">
        <f>"202116012105"</f>
        <v>202116012105</v>
      </c>
      <c r="E1021" s="10" t="s">
        <v>20</v>
      </c>
      <c r="F1021" s="6" t="s">
        <v>10</v>
      </c>
      <c r="G1021" s="8">
        <v>50.7</v>
      </c>
      <c r="H1021" s="6"/>
    </row>
    <row r="1022" spans="1:8">
      <c r="A1022" s="5">
        <v>731</v>
      </c>
      <c r="B1022" s="6" t="str">
        <f>"杨笛"</f>
        <v>杨笛</v>
      </c>
      <c r="C1022" s="6" t="str">
        <f t="shared" si="43"/>
        <v>女</v>
      </c>
      <c r="D1022" s="6" t="str">
        <f>"202116012106"</f>
        <v>202116012106</v>
      </c>
      <c r="E1022" s="10" t="s">
        <v>20</v>
      </c>
      <c r="F1022" s="6" t="s">
        <v>10</v>
      </c>
      <c r="G1022" s="8">
        <v>60.1</v>
      </c>
      <c r="H1022" s="6"/>
    </row>
    <row r="1023" spans="1:8">
      <c r="A1023" s="5">
        <v>762</v>
      </c>
      <c r="B1023" s="6" t="str">
        <f>"庄丽琼"</f>
        <v>庄丽琼</v>
      </c>
      <c r="C1023" s="6" t="str">
        <f t="shared" si="43"/>
        <v>女</v>
      </c>
      <c r="D1023" s="6" t="str">
        <f>"202116012107"</f>
        <v>202116012107</v>
      </c>
      <c r="E1023" s="10" t="s">
        <v>20</v>
      </c>
      <c r="F1023" s="6" t="s">
        <v>10</v>
      </c>
      <c r="G1023" s="8">
        <v>63.3</v>
      </c>
      <c r="H1023" s="6"/>
    </row>
    <row r="1024" spans="1:8">
      <c r="A1024" s="5">
        <v>730</v>
      </c>
      <c r="B1024" s="6" t="str">
        <f>"彭焱坡"</f>
        <v>彭焱坡</v>
      </c>
      <c r="C1024" s="6" t="str">
        <f t="shared" si="43"/>
        <v>女</v>
      </c>
      <c r="D1024" s="6" t="str">
        <f>"202116012108"</f>
        <v>202116012108</v>
      </c>
      <c r="E1024" s="10" t="s">
        <v>20</v>
      </c>
      <c r="F1024" s="6" t="s">
        <v>10</v>
      </c>
      <c r="G1024" s="8">
        <v>55.4</v>
      </c>
      <c r="H1024" s="6"/>
    </row>
    <row r="1025" spans="1:8">
      <c r="A1025" s="5">
        <v>810</v>
      </c>
      <c r="B1025" s="6" t="str">
        <f>"田秀"</f>
        <v>田秀</v>
      </c>
      <c r="C1025" s="6" t="str">
        <f t="shared" si="43"/>
        <v>女</v>
      </c>
      <c r="D1025" s="6" t="str">
        <f>"202116012109"</f>
        <v>202116012109</v>
      </c>
      <c r="E1025" s="10" t="s">
        <v>20</v>
      </c>
      <c r="F1025" s="6" t="s">
        <v>10</v>
      </c>
      <c r="G1025" s="8">
        <v>55.8</v>
      </c>
      <c r="H1025" s="6"/>
    </row>
    <row r="1026" spans="1:8">
      <c r="A1026" s="5">
        <v>705</v>
      </c>
      <c r="B1026" s="6" t="str">
        <f>"邓彩丽"</f>
        <v>邓彩丽</v>
      </c>
      <c r="C1026" s="6" t="str">
        <f t="shared" si="43"/>
        <v>女</v>
      </c>
      <c r="D1026" s="6" t="str">
        <f>"202116012110"</f>
        <v>202116012110</v>
      </c>
      <c r="E1026" s="10" t="s">
        <v>20</v>
      </c>
      <c r="F1026" s="6" t="s">
        <v>10</v>
      </c>
      <c r="G1026" s="8">
        <v>62.35</v>
      </c>
      <c r="H1026" s="6"/>
    </row>
    <row r="1027" spans="1:8">
      <c r="A1027" s="5">
        <v>834</v>
      </c>
      <c r="B1027" s="6" t="str">
        <f>"曾文艳"</f>
        <v>曾文艳</v>
      </c>
      <c r="C1027" s="6" t="str">
        <f t="shared" si="43"/>
        <v>女</v>
      </c>
      <c r="D1027" s="6" t="str">
        <f>"202116012111"</f>
        <v>202116012111</v>
      </c>
      <c r="E1027" s="10" t="s">
        <v>20</v>
      </c>
      <c r="F1027" s="6" t="s">
        <v>10</v>
      </c>
      <c r="G1027" s="8">
        <v>0</v>
      </c>
      <c r="H1027" s="9">
        <v>1</v>
      </c>
    </row>
    <row r="1028" spans="1:8">
      <c r="A1028" s="5">
        <v>816</v>
      </c>
      <c r="B1028" s="6" t="str">
        <f>"阳珂"</f>
        <v>阳珂</v>
      </c>
      <c r="C1028" s="6" t="str">
        <f t="shared" si="43"/>
        <v>女</v>
      </c>
      <c r="D1028" s="6" t="str">
        <f>"202116012112"</f>
        <v>202116012112</v>
      </c>
      <c r="E1028" s="10" t="s">
        <v>20</v>
      </c>
      <c r="F1028" s="6" t="s">
        <v>10</v>
      </c>
      <c r="G1028" s="8">
        <v>55.55</v>
      </c>
      <c r="H1028" s="6"/>
    </row>
    <row r="1029" spans="1:8">
      <c r="A1029" s="5">
        <v>823</v>
      </c>
      <c r="B1029" s="6" t="str">
        <f>"张惠敏"</f>
        <v>张惠敏</v>
      </c>
      <c r="C1029" s="6" t="str">
        <f t="shared" si="43"/>
        <v>女</v>
      </c>
      <c r="D1029" s="6" t="str">
        <f>"202116012113"</f>
        <v>202116012113</v>
      </c>
      <c r="E1029" s="10" t="s">
        <v>20</v>
      </c>
      <c r="F1029" s="6" t="s">
        <v>10</v>
      </c>
      <c r="G1029" s="8">
        <v>62.55</v>
      </c>
      <c r="H1029" s="6"/>
    </row>
    <row r="1030" spans="1:8">
      <c r="A1030" s="5">
        <v>691</v>
      </c>
      <c r="B1030" s="6" t="str">
        <f>"何逸竹"</f>
        <v>何逸竹</v>
      </c>
      <c r="C1030" s="6" t="str">
        <f t="shared" si="43"/>
        <v>女</v>
      </c>
      <c r="D1030" s="6" t="str">
        <f>"202116012114"</f>
        <v>202116012114</v>
      </c>
      <c r="E1030" s="10" t="s">
        <v>20</v>
      </c>
      <c r="F1030" s="6" t="s">
        <v>10</v>
      </c>
      <c r="G1030" s="8">
        <v>0</v>
      </c>
      <c r="H1030" s="9">
        <v>1</v>
      </c>
    </row>
    <row r="1031" spans="1:8">
      <c r="A1031" s="5">
        <v>720</v>
      </c>
      <c r="B1031" s="6" t="str">
        <f>"沈蓉"</f>
        <v>沈蓉</v>
      </c>
      <c r="C1031" s="6" t="str">
        <f t="shared" si="43"/>
        <v>女</v>
      </c>
      <c r="D1031" s="6" t="str">
        <f>"202116012115"</f>
        <v>202116012115</v>
      </c>
      <c r="E1031" s="10" t="s">
        <v>20</v>
      </c>
      <c r="F1031" s="6" t="s">
        <v>10</v>
      </c>
      <c r="G1031" s="8">
        <v>60.4</v>
      </c>
      <c r="H1031" s="6"/>
    </row>
    <row r="1032" spans="1:8">
      <c r="A1032" s="5">
        <v>806</v>
      </c>
      <c r="B1032" s="6" t="str">
        <f>"全涵芝"</f>
        <v>全涵芝</v>
      </c>
      <c r="C1032" s="6" t="str">
        <f t="shared" si="43"/>
        <v>女</v>
      </c>
      <c r="D1032" s="6" t="str">
        <f>"202116012116"</f>
        <v>202116012116</v>
      </c>
      <c r="E1032" s="10" t="s">
        <v>20</v>
      </c>
      <c r="F1032" s="6" t="s">
        <v>10</v>
      </c>
      <c r="G1032" s="8">
        <v>0</v>
      </c>
      <c r="H1032" s="9">
        <v>1</v>
      </c>
    </row>
    <row r="1033" spans="1:8">
      <c r="A1033" s="5">
        <v>800</v>
      </c>
      <c r="B1033" s="6" t="str">
        <f>"李思洁"</f>
        <v>李思洁</v>
      </c>
      <c r="C1033" s="6" t="str">
        <f t="shared" si="43"/>
        <v>女</v>
      </c>
      <c r="D1033" s="6" t="str">
        <f>"202116012117"</f>
        <v>202116012117</v>
      </c>
      <c r="E1033" s="10" t="s">
        <v>20</v>
      </c>
      <c r="F1033" s="6" t="s">
        <v>10</v>
      </c>
      <c r="G1033" s="8">
        <v>41.95</v>
      </c>
      <c r="H1033" s="6"/>
    </row>
    <row r="1034" spans="1:8">
      <c r="A1034" s="5">
        <v>811</v>
      </c>
      <c r="B1034" s="6" t="str">
        <f>"苏雯"</f>
        <v>苏雯</v>
      </c>
      <c r="C1034" s="6" t="str">
        <f t="shared" si="43"/>
        <v>女</v>
      </c>
      <c r="D1034" s="6" t="str">
        <f>"202116012118"</f>
        <v>202116012118</v>
      </c>
      <c r="E1034" s="10" t="s">
        <v>20</v>
      </c>
      <c r="F1034" s="6" t="s">
        <v>10</v>
      </c>
      <c r="G1034" s="8">
        <v>58</v>
      </c>
      <c r="H1034" s="6"/>
    </row>
    <row r="1035" spans="1:8">
      <c r="A1035" s="5">
        <v>751</v>
      </c>
      <c r="B1035" s="6" t="str">
        <f>"刘洁"</f>
        <v>刘洁</v>
      </c>
      <c r="C1035" s="6" t="str">
        <f t="shared" si="43"/>
        <v>女</v>
      </c>
      <c r="D1035" s="6" t="str">
        <f>"202116012119"</f>
        <v>202116012119</v>
      </c>
      <c r="E1035" s="10" t="s">
        <v>20</v>
      </c>
      <c r="F1035" s="6" t="s">
        <v>10</v>
      </c>
      <c r="G1035" s="8">
        <v>64.05</v>
      </c>
      <c r="H1035" s="6"/>
    </row>
    <row r="1036" spans="1:8">
      <c r="A1036" s="5">
        <v>696</v>
      </c>
      <c r="B1036" s="6" t="str">
        <f>"叶鸿英"</f>
        <v>叶鸿英</v>
      </c>
      <c r="C1036" s="6" t="str">
        <f t="shared" si="43"/>
        <v>女</v>
      </c>
      <c r="D1036" s="6" t="str">
        <f>"202116012120"</f>
        <v>202116012120</v>
      </c>
      <c r="E1036" s="10" t="s">
        <v>20</v>
      </c>
      <c r="F1036" s="6" t="s">
        <v>10</v>
      </c>
      <c r="G1036" s="8">
        <v>0</v>
      </c>
      <c r="H1036" s="9">
        <v>1</v>
      </c>
    </row>
    <row r="1037" spans="1:8">
      <c r="A1037" s="5">
        <v>835</v>
      </c>
      <c r="B1037" s="6" t="str">
        <f>"凌文凤"</f>
        <v>凌文凤</v>
      </c>
      <c r="C1037" s="6" t="str">
        <f t="shared" si="43"/>
        <v>女</v>
      </c>
      <c r="D1037" s="6" t="str">
        <f>"202116012121"</f>
        <v>202116012121</v>
      </c>
      <c r="E1037" s="10" t="s">
        <v>20</v>
      </c>
      <c r="F1037" s="6" t="s">
        <v>10</v>
      </c>
      <c r="G1037" s="8">
        <v>60.05</v>
      </c>
      <c r="H1037" s="6"/>
    </row>
    <row r="1038" spans="1:8">
      <c r="A1038" s="5">
        <v>697</v>
      </c>
      <c r="B1038" s="6" t="str">
        <f>"陈霞"</f>
        <v>陈霞</v>
      </c>
      <c r="C1038" s="6" t="str">
        <f t="shared" si="43"/>
        <v>女</v>
      </c>
      <c r="D1038" s="6" t="str">
        <f>"202116012122"</f>
        <v>202116012122</v>
      </c>
      <c r="E1038" s="10" t="s">
        <v>20</v>
      </c>
      <c r="F1038" s="6" t="s">
        <v>10</v>
      </c>
      <c r="G1038" s="8">
        <v>60.5</v>
      </c>
      <c r="H1038" s="6"/>
    </row>
    <row r="1039" spans="1:8">
      <c r="A1039" s="5">
        <v>802</v>
      </c>
      <c r="B1039" s="6" t="str">
        <f>"粟丽蓉"</f>
        <v>粟丽蓉</v>
      </c>
      <c r="C1039" s="6" t="str">
        <f t="shared" si="43"/>
        <v>女</v>
      </c>
      <c r="D1039" s="6" t="str">
        <f>"202116012123"</f>
        <v>202116012123</v>
      </c>
      <c r="E1039" s="10" t="s">
        <v>20</v>
      </c>
      <c r="F1039" s="6" t="s">
        <v>10</v>
      </c>
      <c r="G1039" s="8">
        <v>58.4</v>
      </c>
      <c r="H1039" s="6"/>
    </row>
    <row r="1040" spans="1:8">
      <c r="A1040" s="5">
        <v>788</v>
      </c>
      <c r="B1040" s="6" t="str">
        <f>"王丽娜"</f>
        <v>王丽娜</v>
      </c>
      <c r="C1040" s="6" t="str">
        <f t="shared" si="43"/>
        <v>女</v>
      </c>
      <c r="D1040" s="6" t="str">
        <f>"202116012124"</f>
        <v>202116012124</v>
      </c>
      <c r="E1040" s="10" t="s">
        <v>20</v>
      </c>
      <c r="F1040" s="6" t="s">
        <v>10</v>
      </c>
      <c r="G1040" s="8">
        <v>58.75</v>
      </c>
      <c r="H1040" s="6"/>
    </row>
    <row r="1041" spans="1:8">
      <c r="A1041" s="5">
        <v>738</v>
      </c>
      <c r="B1041" s="6" t="str">
        <f>"吴杰"</f>
        <v>吴杰</v>
      </c>
      <c r="C1041" s="6" t="str">
        <f t="shared" si="43"/>
        <v>女</v>
      </c>
      <c r="D1041" s="6" t="str">
        <f>"202116012125"</f>
        <v>202116012125</v>
      </c>
      <c r="E1041" s="10" t="s">
        <v>20</v>
      </c>
      <c r="F1041" s="6" t="s">
        <v>10</v>
      </c>
      <c r="G1041" s="8">
        <v>0</v>
      </c>
      <c r="H1041" s="9">
        <v>1</v>
      </c>
    </row>
    <row r="1042" spans="1:8">
      <c r="A1042" s="5">
        <v>777</v>
      </c>
      <c r="B1042" s="6" t="str">
        <f>"王冬君"</f>
        <v>王冬君</v>
      </c>
      <c r="C1042" s="6" t="str">
        <f t="shared" si="43"/>
        <v>女</v>
      </c>
      <c r="D1042" s="6" t="str">
        <f>"202116012126"</f>
        <v>202116012126</v>
      </c>
      <c r="E1042" s="10" t="s">
        <v>20</v>
      </c>
      <c r="F1042" s="6" t="s">
        <v>10</v>
      </c>
      <c r="G1042" s="8">
        <v>56.1</v>
      </c>
      <c r="H1042" s="6"/>
    </row>
    <row r="1043" spans="1:8">
      <c r="A1043" s="5">
        <v>707</v>
      </c>
      <c r="B1043" s="6" t="str">
        <f>"龙宇"</f>
        <v>龙宇</v>
      </c>
      <c r="C1043" s="6" t="str">
        <f t="shared" si="43"/>
        <v>女</v>
      </c>
      <c r="D1043" s="6" t="str">
        <f>"202116012127"</f>
        <v>202116012127</v>
      </c>
      <c r="E1043" s="10" t="s">
        <v>20</v>
      </c>
      <c r="F1043" s="6" t="s">
        <v>10</v>
      </c>
      <c r="G1043" s="8">
        <v>63.6</v>
      </c>
      <c r="H1043" s="6"/>
    </row>
    <row r="1044" spans="1:8">
      <c r="A1044" s="5">
        <v>715</v>
      </c>
      <c r="B1044" s="6" t="str">
        <f>"李园园"</f>
        <v>李园园</v>
      </c>
      <c r="C1044" s="6" t="str">
        <f t="shared" si="43"/>
        <v>女</v>
      </c>
      <c r="D1044" s="6" t="str">
        <f>"202116012128"</f>
        <v>202116012128</v>
      </c>
      <c r="E1044" s="10" t="s">
        <v>20</v>
      </c>
      <c r="F1044" s="6" t="s">
        <v>10</v>
      </c>
      <c r="G1044" s="8">
        <v>46.8</v>
      </c>
      <c r="H1044" s="6"/>
    </row>
    <row r="1045" spans="1:8">
      <c r="A1045" s="5">
        <v>760</v>
      </c>
      <c r="B1045" s="6" t="str">
        <f>"欧正芝"</f>
        <v>欧正芝</v>
      </c>
      <c r="C1045" s="6" t="str">
        <f t="shared" si="43"/>
        <v>女</v>
      </c>
      <c r="D1045" s="6" t="str">
        <f>"202116012129"</f>
        <v>202116012129</v>
      </c>
      <c r="E1045" s="10" t="s">
        <v>20</v>
      </c>
      <c r="F1045" s="6" t="s">
        <v>10</v>
      </c>
      <c r="G1045" s="8">
        <v>48.15</v>
      </c>
      <c r="H1045" s="6"/>
    </row>
    <row r="1046" spans="1:8">
      <c r="A1046" s="5">
        <v>818</v>
      </c>
      <c r="B1046" s="6" t="str">
        <f>"蒋洁"</f>
        <v>蒋洁</v>
      </c>
      <c r="C1046" s="6" t="str">
        <f t="shared" si="43"/>
        <v>女</v>
      </c>
      <c r="D1046" s="6" t="str">
        <f>"202116012130"</f>
        <v>202116012130</v>
      </c>
      <c r="E1046" s="10" t="s">
        <v>20</v>
      </c>
      <c r="F1046" s="6" t="s">
        <v>10</v>
      </c>
      <c r="G1046" s="8">
        <v>64.8</v>
      </c>
      <c r="H1046" s="6"/>
    </row>
    <row r="1047" spans="1:8">
      <c r="A1047" s="5">
        <v>765</v>
      </c>
      <c r="B1047" s="6" t="str">
        <f>"谢青婷"</f>
        <v>谢青婷</v>
      </c>
      <c r="C1047" s="6" t="str">
        <f t="shared" si="43"/>
        <v>女</v>
      </c>
      <c r="D1047" s="6" t="str">
        <f>"202116012201"</f>
        <v>202116012201</v>
      </c>
      <c r="E1047" s="10" t="s">
        <v>20</v>
      </c>
      <c r="F1047" s="6" t="s">
        <v>10</v>
      </c>
      <c r="G1047" s="8">
        <v>54.25</v>
      </c>
      <c r="H1047" s="6"/>
    </row>
    <row r="1048" spans="1:8">
      <c r="A1048" s="5">
        <v>1170</v>
      </c>
      <c r="B1048" s="6" t="str">
        <f>"喻梦依"</f>
        <v>喻梦依</v>
      </c>
      <c r="C1048" s="6" t="str">
        <f t="shared" si="43"/>
        <v>女</v>
      </c>
      <c r="D1048" s="6" t="str">
        <f>"202117030101"</f>
        <v>202117030101</v>
      </c>
      <c r="E1048" s="10" t="s">
        <v>20</v>
      </c>
      <c r="F1048" s="6" t="s">
        <v>11</v>
      </c>
      <c r="G1048" s="8">
        <v>80.900000000000006</v>
      </c>
      <c r="H1048" s="6"/>
    </row>
    <row r="1049" spans="1:8">
      <c r="A1049" s="5">
        <v>1115</v>
      </c>
      <c r="B1049" s="6" t="str">
        <f>"肖玉慧"</f>
        <v>肖玉慧</v>
      </c>
      <c r="C1049" s="6" t="str">
        <f t="shared" si="43"/>
        <v>女</v>
      </c>
      <c r="D1049" s="6" t="str">
        <f>"202117030102"</f>
        <v>202117030102</v>
      </c>
      <c r="E1049" s="10" t="s">
        <v>20</v>
      </c>
      <c r="F1049" s="6" t="s">
        <v>11</v>
      </c>
      <c r="G1049" s="8">
        <v>45</v>
      </c>
      <c r="H1049" s="6"/>
    </row>
    <row r="1050" spans="1:8">
      <c r="A1050" s="5">
        <v>1134</v>
      </c>
      <c r="B1050" s="6" t="str">
        <f>"周芳"</f>
        <v>周芳</v>
      </c>
      <c r="C1050" s="6" t="str">
        <f t="shared" si="43"/>
        <v>女</v>
      </c>
      <c r="D1050" s="6" t="str">
        <f>"202117030103"</f>
        <v>202117030103</v>
      </c>
      <c r="E1050" s="10" t="s">
        <v>20</v>
      </c>
      <c r="F1050" s="6" t="s">
        <v>11</v>
      </c>
      <c r="G1050" s="8">
        <v>91.55</v>
      </c>
      <c r="H1050" s="6"/>
    </row>
    <row r="1051" spans="1:8">
      <c r="A1051" s="5">
        <v>918</v>
      </c>
      <c r="B1051" s="6" t="str">
        <f>"王冰"</f>
        <v>王冰</v>
      </c>
      <c r="C1051" s="6" t="str">
        <f t="shared" si="43"/>
        <v>女</v>
      </c>
      <c r="D1051" s="6" t="str">
        <f>"202117030104"</f>
        <v>202117030104</v>
      </c>
      <c r="E1051" s="10" t="s">
        <v>20</v>
      </c>
      <c r="F1051" s="6" t="s">
        <v>11</v>
      </c>
      <c r="G1051" s="8">
        <v>58.25</v>
      </c>
      <c r="H1051" s="6"/>
    </row>
    <row r="1052" spans="1:8">
      <c r="A1052" s="5">
        <v>1077</v>
      </c>
      <c r="B1052" s="6" t="str">
        <f>"龙孝通"</f>
        <v>龙孝通</v>
      </c>
      <c r="C1052" s="6" t="str">
        <f>"男"</f>
        <v>男</v>
      </c>
      <c r="D1052" s="6" t="str">
        <f>"202117030105"</f>
        <v>202117030105</v>
      </c>
      <c r="E1052" s="10" t="s">
        <v>20</v>
      </c>
      <c r="F1052" s="6" t="s">
        <v>11</v>
      </c>
      <c r="G1052" s="8">
        <v>63.3</v>
      </c>
      <c r="H1052" s="6"/>
    </row>
    <row r="1053" spans="1:8">
      <c r="A1053" s="5">
        <v>890</v>
      </c>
      <c r="B1053" s="6" t="str">
        <f>"唐博花"</f>
        <v>唐博花</v>
      </c>
      <c r="C1053" s="6" t="str">
        <f>"女"</f>
        <v>女</v>
      </c>
      <c r="D1053" s="6" t="str">
        <f>"202117030106"</f>
        <v>202117030106</v>
      </c>
      <c r="E1053" s="10" t="s">
        <v>20</v>
      </c>
      <c r="F1053" s="6" t="s">
        <v>11</v>
      </c>
      <c r="G1053" s="8">
        <v>87.8</v>
      </c>
      <c r="H1053" s="6"/>
    </row>
    <row r="1054" spans="1:8">
      <c r="A1054" s="5">
        <v>1113</v>
      </c>
      <c r="B1054" s="6" t="str">
        <f>"何海艳"</f>
        <v>何海艳</v>
      </c>
      <c r="C1054" s="6" t="str">
        <f>"女"</f>
        <v>女</v>
      </c>
      <c r="D1054" s="6" t="str">
        <f>"202117030107"</f>
        <v>202117030107</v>
      </c>
      <c r="E1054" s="10" t="s">
        <v>20</v>
      </c>
      <c r="F1054" s="6" t="s">
        <v>11</v>
      </c>
      <c r="G1054" s="8">
        <v>0</v>
      </c>
      <c r="H1054" s="9">
        <v>1</v>
      </c>
    </row>
    <row r="1055" spans="1:8">
      <c r="A1055" s="5">
        <v>1076</v>
      </c>
      <c r="B1055" s="6" t="str">
        <f>"李尹琳"</f>
        <v>李尹琳</v>
      </c>
      <c r="C1055" s="6" t="str">
        <f>"女"</f>
        <v>女</v>
      </c>
      <c r="D1055" s="6" t="str">
        <f>"202117030108"</f>
        <v>202117030108</v>
      </c>
      <c r="E1055" s="10" t="s">
        <v>20</v>
      </c>
      <c r="F1055" s="6" t="s">
        <v>11</v>
      </c>
      <c r="G1055" s="8">
        <v>91</v>
      </c>
      <c r="H1055" s="6"/>
    </row>
    <row r="1056" spans="1:8">
      <c r="A1056" s="5">
        <v>1228</v>
      </c>
      <c r="B1056" s="6" t="str">
        <f>"唐玉婷"</f>
        <v>唐玉婷</v>
      </c>
      <c r="C1056" s="6" t="str">
        <f>"女"</f>
        <v>女</v>
      </c>
      <c r="D1056" s="6" t="str">
        <f>"202117030109"</f>
        <v>202117030109</v>
      </c>
      <c r="E1056" s="10" t="s">
        <v>20</v>
      </c>
      <c r="F1056" s="6" t="s">
        <v>11</v>
      </c>
      <c r="G1056" s="8">
        <v>66</v>
      </c>
      <c r="H1056" s="6"/>
    </row>
    <row r="1057" spans="1:8">
      <c r="A1057" s="5">
        <v>1173</v>
      </c>
      <c r="B1057" s="6" t="str">
        <f>"尹华峰"</f>
        <v>尹华峰</v>
      </c>
      <c r="C1057" s="6" t="str">
        <f>"男"</f>
        <v>男</v>
      </c>
      <c r="D1057" s="6" t="str">
        <f>"202117030110"</f>
        <v>202117030110</v>
      </c>
      <c r="E1057" s="10" t="s">
        <v>20</v>
      </c>
      <c r="F1057" s="6" t="s">
        <v>11</v>
      </c>
      <c r="G1057" s="8">
        <v>85.75</v>
      </c>
      <c r="H1057" s="6"/>
    </row>
    <row r="1058" spans="1:8">
      <c r="A1058" s="5">
        <v>915</v>
      </c>
      <c r="B1058" s="6" t="str">
        <f>"易娟"</f>
        <v>易娟</v>
      </c>
      <c r="C1058" s="6" t="str">
        <f t="shared" ref="C1058:C1066" si="44">"女"</f>
        <v>女</v>
      </c>
      <c r="D1058" s="6" t="str">
        <f>"202117030111"</f>
        <v>202117030111</v>
      </c>
      <c r="E1058" s="10" t="s">
        <v>20</v>
      </c>
      <c r="F1058" s="6" t="s">
        <v>11</v>
      </c>
      <c r="G1058" s="8">
        <v>86</v>
      </c>
      <c r="H1058" s="6"/>
    </row>
    <row r="1059" spans="1:8">
      <c r="A1059" s="5">
        <v>945</v>
      </c>
      <c r="B1059" s="6" t="str">
        <f>"王苗苗"</f>
        <v>王苗苗</v>
      </c>
      <c r="C1059" s="6" t="str">
        <f t="shared" si="44"/>
        <v>女</v>
      </c>
      <c r="D1059" s="6" t="str">
        <f>"202117030112"</f>
        <v>202117030112</v>
      </c>
      <c r="E1059" s="10" t="s">
        <v>20</v>
      </c>
      <c r="F1059" s="6" t="s">
        <v>11</v>
      </c>
      <c r="G1059" s="8">
        <v>87.55</v>
      </c>
      <c r="H1059" s="6"/>
    </row>
    <row r="1060" spans="1:8">
      <c r="A1060" s="5">
        <v>1131</v>
      </c>
      <c r="B1060" s="6" t="str">
        <f>"许斯媛"</f>
        <v>许斯媛</v>
      </c>
      <c r="C1060" s="6" t="str">
        <f t="shared" si="44"/>
        <v>女</v>
      </c>
      <c r="D1060" s="6" t="str">
        <f>"202117030113"</f>
        <v>202117030113</v>
      </c>
      <c r="E1060" s="10" t="s">
        <v>20</v>
      </c>
      <c r="F1060" s="6" t="s">
        <v>11</v>
      </c>
      <c r="G1060" s="8">
        <v>91.3</v>
      </c>
      <c r="H1060" s="6"/>
    </row>
    <row r="1061" spans="1:8">
      <c r="A1061" s="5">
        <v>1215</v>
      </c>
      <c r="B1061" s="6" t="str">
        <f>"唐巧意"</f>
        <v>唐巧意</v>
      </c>
      <c r="C1061" s="6" t="str">
        <f t="shared" si="44"/>
        <v>女</v>
      </c>
      <c r="D1061" s="6" t="str">
        <f>"202117030114"</f>
        <v>202117030114</v>
      </c>
      <c r="E1061" s="10" t="s">
        <v>20</v>
      </c>
      <c r="F1061" s="6" t="s">
        <v>11</v>
      </c>
      <c r="G1061" s="8">
        <v>69.650000000000006</v>
      </c>
      <c r="H1061" s="6"/>
    </row>
    <row r="1062" spans="1:8">
      <c r="A1062" s="5">
        <v>1065</v>
      </c>
      <c r="B1062" s="6" t="str">
        <f>"王湘广"</f>
        <v>王湘广</v>
      </c>
      <c r="C1062" s="6" t="str">
        <f t="shared" si="44"/>
        <v>女</v>
      </c>
      <c r="D1062" s="6" t="str">
        <f>"202117030115"</f>
        <v>202117030115</v>
      </c>
      <c r="E1062" s="10" t="s">
        <v>20</v>
      </c>
      <c r="F1062" s="6" t="s">
        <v>11</v>
      </c>
      <c r="G1062" s="8">
        <v>85.35</v>
      </c>
      <c r="H1062" s="6"/>
    </row>
    <row r="1063" spans="1:8">
      <c r="A1063" s="5">
        <v>1224</v>
      </c>
      <c r="B1063" s="6" t="str">
        <f>"黄敏"</f>
        <v>黄敏</v>
      </c>
      <c r="C1063" s="6" t="str">
        <f t="shared" si="44"/>
        <v>女</v>
      </c>
      <c r="D1063" s="6" t="str">
        <f>"202117030116"</f>
        <v>202117030116</v>
      </c>
      <c r="E1063" s="10" t="s">
        <v>20</v>
      </c>
      <c r="F1063" s="6" t="s">
        <v>11</v>
      </c>
      <c r="G1063" s="8">
        <v>57</v>
      </c>
      <c r="H1063" s="6"/>
    </row>
    <row r="1064" spans="1:8">
      <c r="A1064" s="5">
        <v>1010</v>
      </c>
      <c r="B1064" s="6" t="str">
        <f>"戴慧英"</f>
        <v>戴慧英</v>
      </c>
      <c r="C1064" s="6" t="str">
        <f t="shared" si="44"/>
        <v>女</v>
      </c>
      <c r="D1064" s="6" t="str">
        <f>"202117030117"</f>
        <v>202117030117</v>
      </c>
      <c r="E1064" s="10" t="s">
        <v>20</v>
      </c>
      <c r="F1064" s="6" t="s">
        <v>11</v>
      </c>
      <c r="G1064" s="8">
        <v>89.5</v>
      </c>
      <c r="H1064" s="6"/>
    </row>
    <row r="1065" spans="1:8">
      <c r="A1065" s="5">
        <v>1062</v>
      </c>
      <c r="B1065" s="6" t="str">
        <f>"钟晓林"</f>
        <v>钟晓林</v>
      </c>
      <c r="C1065" s="6" t="str">
        <f t="shared" si="44"/>
        <v>女</v>
      </c>
      <c r="D1065" s="6" t="str">
        <f>"202117030118"</f>
        <v>202117030118</v>
      </c>
      <c r="E1065" s="10" t="s">
        <v>20</v>
      </c>
      <c r="F1065" s="6" t="s">
        <v>11</v>
      </c>
      <c r="G1065" s="8">
        <v>83.6</v>
      </c>
      <c r="H1065" s="6"/>
    </row>
    <row r="1066" spans="1:8">
      <c r="A1066" s="5">
        <v>948</v>
      </c>
      <c r="B1066" s="6" t="str">
        <f>"佘娜"</f>
        <v>佘娜</v>
      </c>
      <c r="C1066" s="6" t="str">
        <f t="shared" si="44"/>
        <v>女</v>
      </c>
      <c r="D1066" s="6" t="str">
        <f>"202117030119"</f>
        <v>202117030119</v>
      </c>
      <c r="E1066" s="10" t="s">
        <v>20</v>
      </c>
      <c r="F1066" s="6" t="s">
        <v>11</v>
      </c>
      <c r="G1066" s="8">
        <v>76.7</v>
      </c>
      <c r="H1066" s="6"/>
    </row>
    <row r="1067" spans="1:8">
      <c r="A1067" s="5">
        <v>1190</v>
      </c>
      <c r="B1067" s="6" t="str">
        <f>"况彪"</f>
        <v>况彪</v>
      </c>
      <c r="C1067" s="6" t="str">
        <f>"男"</f>
        <v>男</v>
      </c>
      <c r="D1067" s="6" t="str">
        <f>"202117030120"</f>
        <v>202117030120</v>
      </c>
      <c r="E1067" s="10" t="s">
        <v>20</v>
      </c>
      <c r="F1067" s="6" t="s">
        <v>11</v>
      </c>
      <c r="G1067" s="8">
        <v>71.849999999999994</v>
      </c>
      <c r="H1067" s="6"/>
    </row>
    <row r="1068" spans="1:8">
      <c r="A1068" s="5">
        <v>976</v>
      </c>
      <c r="B1068" s="6" t="str">
        <f>"石锦锦"</f>
        <v>石锦锦</v>
      </c>
      <c r="C1068" s="6" t="str">
        <f>"女"</f>
        <v>女</v>
      </c>
      <c r="D1068" s="6" t="str">
        <f>"202117030121"</f>
        <v>202117030121</v>
      </c>
      <c r="E1068" s="10" t="s">
        <v>20</v>
      </c>
      <c r="F1068" s="6" t="s">
        <v>11</v>
      </c>
      <c r="G1068" s="8">
        <v>86.4</v>
      </c>
      <c r="H1068" s="6"/>
    </row>
    <row r="1069" spans="1:8">
      <c r="A1069" s="5">
        <v>857</v>
      </c>
      <c r="B1069" s="6" t="str">
        <f>"张敏"</f>
        <v>张敏</v>
      </c>
      <c r="C1069" s="6" t="str">
        <f>"女"</f>
        <v>女</v>
      </c>
      <c r="D1069" s="6" t="str">
        <f>"202117030122"</f>
        <v>202117030122</v>
      </c>
      <c r="E1069" s="10" t="s">
        <v>20</v>
      </c>
      <c r="F1069" s="6" t="s">
        <v>11</v>
      </c>
      <c r="G1069" s="8">
        <v>0</v>
      </c>
      <c r="H1069" s="9">
        <v>1</v>
      </c>
    </row>
    <row r="1070" spans="1:8">
      <c r="A1070" s="5">
        <v>1038</v>
      </c>
      <c r="B1070" s="6" t="str">
        <f>"欧阳沂"</f>
        <v>欧阳沂</v>
      </c>
      <c r="C1070" s="6" t="str">
        <f>"女"</f>
        <v>女</v>
      </c>
      <c r="D1070" s="6" t="str">
        <f>"202117030123"</f>
        <v>202117030123</v>
      </c>
      <c r="E1070" s="10" t="s">
        <v>20</v>
      </c>
      <c r="F1070" s="6" t="s">
        <v>11</v>
      </c>
      <c r="G1070" s="8">
        <v>81.7</v>
      </c>
      <c r="H1070" s="6"/>
    </row>
    <row r="1071" spans="1:8">
      <c r="A1071" s="5">
        <v>986</v>
      </c>
      <c r="B1071" s="6" t="str">
        <f>"刘丰钢"</f>
        <v>刘丰钢</v>
      </c>
      <c r="C1071" s="6" t="str">
        <f>"男"</f>
        <v>男</v>
      </c>
      <c r="D1071" s="6" t="str">
        <f>"202117030124"</f>
        <v>202117030124</v>
      </c>
      <c r="E1071" s="10" t="s">
        <v>20</v>
      </c>
      <c r="F1071" s="6" t="s">
        <v>11</v>
      </c>
      <c r="G1071" s="8">
        <v>85.6</v>
      </c>
      <c r="H1071" s="6"/>
    </row>
    <row r="1072" spans="1:8">
      <c r="A1072" s="5">
        <v>954</v>
      </c>
      <c r="B1072" s="6" t="str">
        <f>"邓志英"</f>
        <v>邓志英</v>
      </c>
      <c r="C1072" s="6" t="str">
        <f>"男"</f>
        <v>男</v>
      </c>
      <c r="D1072" s="6" t="str">
        <f>"202117030125"</f>
        <v>202117030125</v>
      </c>
      <c r="E1072" s="10" t="s">
        <v>20</v>
      </c>
      <c r="F1072" s="6" t="s">
        <v>11</v>
      </c>
      <c r="G1072" s="8">
        <v>71.05</v>
      </c>
      <c r="H1072" s="6"/>
    </row>
    <row r="1073" spans="1:8">
      <c r="A1073" s="5">
        <v>1028</v>
      </c>
      <c r="B1073" s="6" t="str">
        <f>"黄情嘉"</f>
        <v>黄情嘉</v>
      </c>
      <c r="C1073" s="6" t="str">
        <f>"女"</f>
        <v>女</v>
      </c>
      <c r="D1073" s="6" t="str">
        <f>"202117030126"</f>
        <v>202117030126</v>
      </c>
      <c r="E1073" s="10" t="s">
        <v>20</v>
      </c>
      <c r="F1073" s="6" t="s">
        <v>11</v>
      </c>
      <c r="G1073" s="8">
        <v>80.2</v>
      </c>
      <c r="H1073" s="6"/>
    </row>
    <row r="1074" spans="1:8">
      <c r="A1074" s="5">
        <v>926</v>
      </c>
      <c r="B1074" s="6" t="str">
        <f>"黄菁菁"</f>
        <v>黄菁菁</v>
      </c>
      <c r="C1074" s="6" t="str">
        <f>"女"</f>
        <v>女</v>
      </c>
      <c r="D1074" s="6" t="str">
        <f>"202117030127"</f>
        <v>202117030127</v>
      </c>
      <c r="E1074" s="10" t="s">
        <v>20</v>
      </c>
      <c r="F1074" s="6" t="s">
        <v>11</v>
      </c>
      <c r="G1074" s="8">
        <v>87.35</v>
      </c>
      <c r="H1074" s="6"/>
    </row>
    <row r="1075" spans="1:8">
      <c r="A1075" s="5">
        <v>1142</v>
      </c>
      <c r="B1075" s="6" t="str">
        <f>"杨晶"</f>
        <v>杨晶</v>
      </c>
      <c r="C1075" s="6" t="str">
        <f>"女"</f>
        <v>女</v>
      </c>
      <c r="D1075" s="6" t="str">
        <f>"202117030128"</f>
        <v>202117030128</v>
      </c>
      <c r="E1075" s="10" t="s">
        <v>20</v>
      </c>
      <c r="F1075" s="6" t="s">
        <v>11</v>
      </c>
      <c r="G1075" s="8">
        <v>0</v>
      </c>
      <c r="H1075" s="9">
        <v>1</v>
      </c>
    </row>
    <row r="1076" spans="1:8">
      <c r="A1076" s="5">
        <v>934</v>
      </c>
      <c r="B1076" s="6" t="str">
        <f>"刘秧秧"</f>
        <v>刘秧秧</v>
      </c>
      <c r="C1076" s="6" t="str">
        <f>"女"</f>
        <v>女</v>
      </c>
      <c r="D1076" s="6" t="str">
        <f>"202117030129"</f>
        <v>202117030129</v>
      </c>
      <c r="E1076" s="10" t="s">
        <v>20</v>
      </c>
      <c r="F1076" s="6" t="s">
        <v>11</v>
      </c>
      <c r="G1076" s="8">
        <v>81.75</v>
      </c>
      <c r="H1076" s="6"/>
    </row>
    <row r="1077" spans="1:8">
      <c r="A1077" s="5">
        <v>1178</v>
      </c>
      <c r="B1077" s="6" t="str">
        <f>"李超文"</f>
        <v>李超文</v>
      </c>
      <c r="C1077" s="6" t="str">
        <f>"男"</f>
        <v>男</v>
      </c>
      <c r="D1077" s="6" t="str">
        <f>"202117030130"</f>
        <v>202117030130</v>
      </c>
      <c r="E1077" s="10" t="s">
        <v>20</v>
      </c>
      <c r="F1077" s="6" t="s">
        <v>11</v>
      </c>
      <c r="G1077" s="8">
        <v>92.25</v>
      </c>
      <c r="H1077" s="6"/>
    </row>
    <row r="1078" spans="1:8">
      <c r="A1078" s="5">
        <v>1182</v>
      </c>
      <c r="B1078" s="6" t="str">
        <f>"颜初华"</f>
        <v>颜初华</v>
      </c>
      <c r="C1078" s="6" t="str">
        <f>"女"</f>
        <v>女</v>
      </c>
      <c r="D1078" s="6" t="str">
        <f>"202117030201"</f>
        <v>202117030201</v>
      </c>
      <c r="E1078" s="10" t="s">
        <v>20</v>
      </c>
      <c r="F1078" s="6" t="s">
        <v>11</v>
      </c>
      <c r="G1078" s="8">
        <v>92.05</v>
      </c>
      <c r="H1078" s="6"/>
    </row>
    <row r="1079" spans="1:8">
      <c r="A1079" s="5">
        <v>1087</v>
      </c>
      <c r="B1079" s="6" t="str">
        <f>"陈湘"</f>
        <v>陈湘</v>
      </c>
      <c r="C1079" s="6" t="str">
        <f>"女"</f>
        <v>女</v>
      </c>
      <c r="D1079" s="6" t="str">
        <f>"202117030202"</f>
        <v>202117030202</v>
      </c>
      <c r="E1079" s="10" t="s">
        <v>20</v>
      </c>
      <c r="F1079" s="6" t="s">
        <v>11</v>
      </c>
      <c r="G1079" s="8">
        <v>85.35</v>
      </c>
      <c r="H1079" s="6"/>
    </row>
    <row r="1080" spans="1:8">
      <c r="A1080" s="5">
        <v>1012</v>
      </c>
      <c r="B1080" s="6" t="str">
        <f>"刘鹏"</f>
        <v>刘鹏</v>
      </c>
      <c r="C1080" s="6" t="str">
        <f>"男"</f>
        <v>男</v>
      </c>
      <c r="D1080" s="6" t="str">
        <f>"202117030203"</f>
        <v>202117030203</v>
      </c>
      <c r="E1080" s="10" t="s">
        <v>20</v>
      </c>
      <c r="F1080" s="6" t="s">
        <v>11</v>
      </c>
      <c r="G1080" s="8">
        <v>74.900000000000006</v>
      </c>
      <c r="H1080" s="6"/>
    </row>
    <row r="1081" spans="1:8">
      <c r="A1081" s="5">
        <v>1189</v>
      </c>
      <c r="B1081" s="6" t="str">
        <f>"江冰莹"</f>
        <v>江冰莹</v>
      </c>
      <c r="C1081" s="6" t="str">
        <f t="shared" ref="C1081:C1089" si="45">"女"</f>
        <v>女</v>
      </c>
      <c r="D1081" s="6" t="str">
        <f>"202117030204"</f>
        <v>202117030204</v>
      </c>
      <c r="E1081" s="10" t="s">
        <v>20</v>
      </c>
      <c r="F1081" s="6" t="s">
        <v>11</v>
      </c>
      <c r="G1081" s="8">
        <v>80.45</v>
      </c>
      <c r="H1081" s="6"/>
    </row>
    <row r="1082" spans="1:8">
      <c r="A1082" s="5">
        <v>1040</v>
      </c>
      <c r="B1082" s="6" t="str">
        <f>"刘珍娟"</f>
        <v>刘珍娟</v>
      </c>
      <c r="C1082" s="6" t="str">
        <f t="shared" si="45"/>
        <v>女</v>
      </c>
      <c r="D1082" s="6" t="str">
        <f>"202117030205"</f>
        <v>202117030205</v>
      </c>
      <c r="E1082" s="10" t="s">
        <v>20</v>
      </c>
      <c r="F1082" s="6" t="s">
        <v>11</v>
      </c>
      <c r="G1082" s="8">
        <v>76.55</v>
      </c>
      <c r="H1082" s="6"/>
    </row>
    <row r="1083" spans="1:8">
      <c r="A1083" s="5">
        <v>952</v>
      </c>
      <c r="B1083" s="6" t="str">
        <f>"陈晓玉"</f>
        <v>陈晓玉</v>
      </c>
      <c r="C1083" s="6" t="str">
        <f t="shared" si="45"/>
        <v>女</v>
      </c>
      <c r="D1083" s="6" t="str">
        <f>"202117030206"</f>
        <v>202117030206</v>
      </c>
      <c r="E1083" s="10" t="s">
        <v>20</v>
      </c>
      <c r="F1083" s="6" t="s">
        <v>11</v>
      </c>
      <c r="G1083" s="8">
        <v>80.849999999999994</v>
      </c>
      <c r="H1083" s="6"/>
    </row>
    <row r="1084" spans="1:8">
      <c r="A1084" s="5">
        <v>1193</v>
      </c>
      <c r="B1084" s="6" t="str">
        <f>"周红应"</f>
        <v>周红应</v>
      </c>
      <c r="C1084" s="6" t="str">
        <f t="shared" si="45"/>
        <v>女</v>
      </c>
      <c r="D1084" s="6" t="str">
        <f>"202117030207"</f>
        <v>202117030207</v>
      </c>
      <c r="E1084" s="10" t="s">
        <v>20</v>
      </c>
      <c r="F1084" s="6" t="s">
        <v>11</v>
      </c>
      <c r="G1084" s="8">
        <v>59.3</v>
      </c>
      <c r="H1084" s="6"/>
    </row>
    <row r="1085" spans="1:8">
      <c r="A1085" s="5">
        <v>1196</v>
      </c>
      <c r="B1085" s="6" t="str">
        <f>"王文艳"</f>
        <v>王文艳</v>
      </c>
      <c r="C1085" s="6" t="str">
        <f t="shared" si="45"/>
        <v>女</v>
      </c>
      <c r="D1085" s="6" t="str">
        <f>"202117030208"</f>
        <v>202117030208</v>
      </c>
      <c r="E1085" s="10" t="s">
        <v>20</v>
      </c>
      <c r="F1085" s="6" t="s">
        <v>11</v>
      </c>
      <c r="G1085" s="8">
        <v>84.8</v>
      </c>
      <c r="H1085" s="6"/>
    </row>
    <row r="1086" spans="1:8">
      <c r="A1086" s="5">
        <v>994</v>
      </c>
      <c r="B1086" s="6" t="str">
        <f>"孙伟燕"</f>
        <v>孙伟燕</v>
      </c>
      <c r="C1086" s="6" t="str">
        <f t="shared" si="45"/>
        <v>女</v>
      </c>
      <c r="D1086" s="6" t="str">
        <f>"202117030209"</f>
        <v>202117030209</v>
      </c>
      <c r="E1086" s="10" t="s">
        <v>20</v>
      </c>
      <c r="F1086" s="6" t="s">
        <v>11</v>
      </c>
      <c r="G1086" s="8">
        <v>71.5</v>
      </c>
      <c r="H1086" s="6"/>
    </row>
    <row r="1087" spans="1:8">
      <c r="A1087" s="5">
        <v>1231</v>
      </c>
      <c r="B1087" s="6" t="str">
        <f>"王宇芳"</f>
        <v>王宇芳</v>
      </c>
      <c r="C1087" s="6" t="str">
        <f t="shared" si="45"/>
        <v>女</v>
      </c>
      <c r="D1087" s="6" t="str">
        <f>"202117030210"</f>
        <v>202117030210</v>
      </c>
      <c r="E1087" s="10" t="s">
        <v>20</v>
      </c>
      <c r="F1087" s="6" t="s">
        <v>11</v>
      </c>
      <c r="G1087" s="8">
        <v>90</v>
      </c>
      <c r="H1087" s="6"/>
    </row>
    <row r="1088" spans="1:8">
      <c r="A1088" s="5">
        <v>1074</v>
      </c>
      <c r="B1088" s="6" t="str">
        <f>"马紫烟"</f>
        <v>马紫烟</v>
      </c>
      <c r="C1088" s="6" t="str">
        <f t="shared" si="45"/>
        <v>女</v>
      </c>
      <c r="D1088" s="6" t="str">
        <f>"202117030211"</f>
        <v>202117030211</v>
      </c>
      <c r="E1088" s="10" t="s">
        <v>20</v>
      </c>
      <c r="F1088" s="6" t="s">
        <v>11</v>
      </c>
      <c r="G1088" s="8">
        <v>74.55</v>
      </c>
      <c r="H1088" s="6"/>
    </row>
    <row r="1089" spans="1:8">
      <c r="A1089" s="5">
        <v>1108</v>
      </c>
      <c r="B1089" s="6" t="str">
        <f>"黄修"</f>
        <v>黄修</v>
      </c>
      <c r="C1089" s="6" t="str">
        <f t="shared" si="45"/>
        <v>女</v>
      </c>
      <c r="D1089" s="6" t="str">
        <f>"202117030212"</f>
        <v>202117030212</v>
      </c>
      <c r="E1089" s="10" t="s">
        <v>20</v>
      </c>
      <c r="F1089" s="6" t="s">
        <v>11</v>
      </c>
      <c r="G1089" s="8">
        <v>0</v>
      </c>
      <c r="H1089" s="9">
        <v>1</v>
      </c>
    </row>
    <row r="1090" spans="1:8">
      <c r="A1090" s="5">
        <v>913</v>
      </c>
      <c r="B1090" s="6" t="str">
        <f>"周桥宝"</f>
        <v>周桥宝</v>
      </c>
      <c r="C1090" s="6" t="str">
        <f>"男"</f>
        <v>男</v>
      </c>
      <c r="D1090" s="6" t="str">
        <f>"202117030213"</f>
        <v>202117030213</v>
      </c>
      <c r="E1090" s="10" t="s">
        <v>20</v>
      </c>
      <c r="F1090" s="6" t="s">
        <v>11</v>
      </c>
      <c r="G1090" s="8">
        <v>78.349999999999994</v>
      </c>
      <c r="H1090" s="6"/>
    </row>
    <row r="1091" spans="1:8">
      <c r="A1091" s="5">
        <v>930</v>
      </c>
      <c r="B1091" s="6" t="str">
        <f>"黄宁"</f>
        <v>黄宁</v>
      </c>
      <c r="C1091" s="6" t="str">
        <f t="shared" ref="C1091:C1098" si="46">"女"</f>
        <v>女</v>
      </c>
      <c r="D1091" s="6" t="str">
        <f>"202117030214"</f>
        <v>202117030214</v>
      </c>
      <c r="E1091" s="10" t="s">
        <v>20</v>
      </c>
      <c r="F1091" s="6" t="s">
        <v>11</v>
      </c>
      <c r="G1091" s="8">
        <v>74.95</v>
      </c>
      <c r="H1091" s="6"/>
    </row>
    <row r="1092" spans="1:8">
      <c r="A1092" s="5">
        <v>1161</v>
      </c>
      <c r="B1092" s="6" t="str">
        <f>"曾琼"</f>
        <v>曾琼</v>
      </c>
      <c r="C1092" s="6" t="str">
        <f t="shared" si="46"/>
        <v>女</v>
      </c>
      <c r="D1092" s="6" t="str">
        <f>"202117030215"</f>
        <v>202117030215</v>
      </c>
      <c r="E1092" s="10" t="s">
        <v>20</v>
      </c>
      <c r="F1092" s="6" t="s">
        <v>11</v>
      </c>
      <c r="G1092" s="8">
        <v>70.95</v>
      </c>
      <c r="H1092" s="6"/>
    </row>
    <row r="1093" spans="1:8">
      <c r="A1093" s="5">
        <v>1073</v>
      </c>
      <c r="B1093" s="6" t="str">
        <f>"李若男"</f>
        <v>李若男</v>
      </c>
      <c r="C1093" s="6" t="str">
        <f t="shared" si="46"/>
        <v>女</v>
      </c>
      <c r="D1093" s="6" t="str">
        <f>"202117030216"</f>
        <v>202117030216</v>
      </c>
      <c r="E1093" s="10" t="s">
        <v>20</v>
      </c>
      <c r="F1093" s="6" t="s">
        <v>11</v>
      </c>
      <c r="G1093" s="8">
        <v>65.45</v>
      </c>
      <c r="H1093" s="6"/>
    </row>
    <row r="1094" spans="1:8">
      <c r="A1094" s="5">
        <v>1112</v>
      </c>
      <c r="B1094" s="6" t="str">
        <f>"彭凤姣"</f>
        <v>彭凤姣</v>
      </c>
      <c r="C1094" s="6" t="str">
        <f t="shared" si="46"/>
        <v>女</v>
      </c>
      <c r="D1094" s="6" t="str">
        <f>"202117030217"</f>
        <v>202117030217</v>
      </c>
      <c r="E1094" s="10" t="s">
        <v>20</v>
      </c>
      <c r="F1094" s="6" t="s">
        <v>11</v>
      </c>
      <c r="G1094" s="8">
        <v>89.8</v>
      </c>
      <c r="H1094" s="6"/>
    </row>
    <row r="1095" spans="1:8">
      <c r="A1095" s="5">
        <v>1223</v>
      </c>
      <c r="B1095" s="6" t="str">
        <f>"刘梅香"</f>
        <v>刘梅香</v>
      </c>
      <c r="C1095" s="6" t="str">
        <f t="shared" si="46"/>
        <v>女</v>
      </c>
      <c r="D1095" s="6" t="str">
        <f>"202117030218"</f>
        <v>202117030218</v>
      </c>
      <c r="E1095" s="10" t="s">
        <v>20</v>
      </c>
      <c r="F1095" s="6" t="s">
        <v>11</v>
      </c>
      <c r="G1095" s="8">
        <v>0</v>
      </c>
      <c r="H1095" s="9">
        <v>1</v>
      </c>
    </row>
    <row r="1096" spans="1:8">
      <c r="A1096" s="5">
        <v>1030</v>
      </c>
      <c r="B1096" s="6" t="str">
        <f>"高丽"</f>
        <v>高丽</v>
      </c>
      <c r="C1096" s="6" t="str">
        <f t="shared" si="46"/>
        <v>女</v>
      </c>
      <c r="D1096" s="6" t="str">
        <f>"202117030219"</f>
        <v>202117030219</v>
      </c>
      <c r="E1096" s="10" t="s">
        <v>20</v>
      </c>
      <c r="F1096" s="6" t="s">
        <v>11</v>
      </c>
      <c r="G1096" s="8">
        <v>94.5</v>
      </c>
      <c r="H1096" s="6"/>
    </row>
    <row r="1097" spans="1:8">
      <c r="A1097" s="5">
        <v>982</v>
      </c>
      <c r="B1097" s="6" t="str">
        <f>"刘园园"</f>
        <v>刘园园</v>
      </c>
      <c r="C1097" s="6" t="str">
        <f t="shared" si="46"/>
        <v>女</v>
      </c>
      <c r="D1097" s="6" t="str">
        <f>"202117030220"</f>
        <v>202117030220</v>
      </c>
      <c r="E1097" s="10" t="s">
        <v>20</v>
      </c>
      <c r="F1097" s="6" t="s">
        <v>11</v>
      </c>
      <c r="G1097" s="8">
        <v>72.099999999999994</v>
      </c>
      <c r="H1097" s="6"/>
    </row>
    <row r="1098" spans="1:8">
      <c r="A1098" s="5">
        <v>1207</v>
      </c>
      <c r="B1098" s="6" t="str">
        <f>"覃丹"</f>
        <v>覃丹</v>
      </c>
      <c r="C1098" s="6" t="str">
        <f t="shared" si="46"/>
        <v>女</v>
      </c>
      <c r="D1098" s="6" t="str">
        <f>"202117030221"</f>
        <v>202117030221</v>
      </c>
      <c r="E1098" s="10" t="s">
        <v>20</v>
      </c>
      <c r="F1098" s="6" t="s">
        <v>11</v>
      </c>
      <c r="G1098" s="8">
        <v>58.35</v>
      </c>
      <c r="H1098" s="6"/>
    </row>
    <row r="1099" spans="1:8">
      <c r="A1099" s="5">
        <v>1202</v>
      </c>
      <c r="B1099" s="6" t="str">
        <f>"李清彪"</f>
        <v>李清彪</v>
      </c>
      <c r="C1099" s="6" t="str">
        <f>"男"</f>
        <v>男</v>
      </c>
      <c r="D1099" s="6" t="str">
        <f>"202117030222"</f>
        <v>202117030222</v>
      </c>
      <c r="E1099" s="10" t="s">
        <v>20</v>
      </c>
      <c r="F1099" s="6" t="s">
        <v>11</v>
      </c>
      <c r="G1099" s="8">
        <v>89.35</v>
      </c>
      <c r="H1099" s="6"/>
    </row>
    <row r="1100" spans="1:8">
      <c r="A1100" s="5">
        <v>1216</v>
      </c>
      <c r="B1100" s="6" t="str">
        <f>"肖琳"</f>
        <v>肖琳</v>
      </c>
      <c r="C1100" s="6" t="str">
        <f t="shared" ref="C1100:C1109" si="47">"女"</f>
        <v>女</v>
      </c>
      <c r="D1100" s="6" t="str">
        <f>"202117030223"</f>
        <v>202117030223</v>
      </c>
      <c r="E1100" s="10" t="s">
        <v>20</v>
      </c>
      <c r="F1100" s="6" t="s">
        <v>11</v>
      </c>
      <c r="G1100" s="8">
        <v>80.95</v>
      </c>
      <c r="H1100" s="6"/>
    </row>
    <row r="1101" spans="1:8">
      <c r="A1101" s="5">
        <v>1052</v>
      </c>
      <c r="B1101" s="6" t="str">
        <f>"黄露露"</f>
        <v>黄露露</v>
      </c>
      <c r="C1101" s="6" t="str">
        <f t="shared" si="47"/>
        <v>女</v>
      </c>
      <c r="D1101" s="6" t="str">
        <f>"202117030224"</f>
        <v>202117030224</v>
      </c>
      <c r="E1101" s="10" t="s">
        <v>20</v>
      </c>
      <c r="F1101" s="6" t="s">
        <v>11</v>
      </c>
      <c r="G1101" s="8">
        <v>89.05</v>
      </c>
      <c r="H1101" s="6"/>
    </row>
    <row r="1102" spans="1:8">
      <c r="A1102" s="5">
        <v>988</v>
      </c>
      <c r="B1102" s="6" t="str">
        <f>"谢娟"</f>
        <v>谢娟</v>
      </c>
      <c r="C1102" s="6" t="str">
        <f t="shared" si="47"/>
        <v>女</v>
      </c>
      <c r="D1102" s="6" t="str">
        <f>"202117030225"</f>
        <v>202117030225</v>
      </c>
      <c r="E1102" s="10" t="s">
        <v>20</v>
      </c>
      <c r="F1102" s="6" t="s">
        <v>11</v>
      </c>
      <c r="G1102" s="8">
        <v>92.25</v>
      </c>
      <c r="H1102" s="6"/>
    </row>
    <row r="1103" spans="1:8">
      <c r="A1103" s="5">
        <v>1058</v>
      </c>
      <c r="B1103" s="6" t="str">
        <f>"刘玉艳"</f>
        <v>刘玉艳</v>
      </c>
      <c r="C1103" s="6" t="str">
        <f t="shared" si="47"/>
        <v>女</v>
      </c>
      <c r="D1103" s="6" t="str">
        <f>"202117030226"</f>
        <v>202117030226</v>
      </c>
      <c r="E1103" s="10" t="s">
        <v>20</v>
      </c>
      <c r="F1103" s="6" t="s">
        <v>11</v>
      </c>
      <c r="G1103" s="8">
        <v>74.150000000000006</v>
      </c>
      <c r="H1103" s="6"/>
    </row>
    <row r="1104" spans="1:8">
      <c r="A1104" s="5">
        <v>1000</v>
      </c>
      <c r="B1104" s="6" t="str">
        <f>"王荣"</f>
        <v>王荣</v>
      </c>
      <c r="C1104" s="6" t="str">
        <f t="shared" si="47"/>
        <v>女</v>
      </c>
      <c r="D1104" s="6" t="str">
        <f>"202117030227"</f>
        <v>202117030227</v>
      </c>
      <c r="E1104" s="10" t="s">
        <v>20</v>
      </c>
      <c r="F1104" s="6" t="s">
        <v>11</v>
      </c>
      <c r="G1104" s="8">
        <v>64.55</v>
      </c>
      <c r="H1104" s="6"/>
    </row>
    <row r="1105" spans="1:8">
      <c r="A1105" s="5">
        <v>1033</v>
      </c>
      <c r="B1105" s="6" t="str">
        <f>"尹龙桂"</f>
        <v>尹龙桂</v>
      </c>
      <c r="C1105" s="6" t="str">
        <f t="shared" si="47"/>
        <v>女</v>
      </c>
      <c r="D1105" s="6" t="str">
        <f>"202117030228"</f>
        <v>202117030228</v>
      </c>
      <c r="E1105" s="10" t="s">
        <v>20</v>
      </c>
      <c r="F1105" s="6" t="s">
        <v>11</v>
      </c>
      <c r="G1105" s="8">
        <v>76.75</v>
      </c>
      <c r="H1105" s="6"/>
    </row>
    <row r="1106" spans="1:8">
      <c r="A1106" s="5">
        <v>900</v>
      </c>
      <c r="B1106" s="6" t="str">
        <f>"曾阳娟"</f>
        <v>曾阳娟</v>
      </c>
      <c r="C1106" s="6" t="str">
        <f t="shared" si="47"/>
        <v>女</v>
      </c>
      <c r="D1106" s="6" t="str">
        <f>"202117030229"</f>
        <v>202117030229</v>
      </c>
      <c r="E1106" s="10" t="s">
        <v>20</v>
      </c>
      <c r="F1106" s="6" t="s">
        <v>11</v>
      </c>
      <c r="G1106" s="8">
        <v>71.8</v>
      </c>
      <c r="H1106" s="6"/>
    </row>
    <row r="1107" spans="1:8">
      <c r="A1107" s="5">
        <v>962</v>
      </c>
      <c r="B1107" s="6" t="str">
        <f>"陈湘君"</f>
        <v>陈湘君</v>
      </c>
      <c r="C1107" s="6" t="str">
        <f t="shared" si="47"/>
        <v>女</v>
      </c>
      <c r="D1107" s="6" t="str">
        <f>"202117030230"</f>
        <v>202117030230</v>
      </c>
      <c r="E1107" s="10" t="s">
        <v>20</v>
      </c>
      <c r="F1107" s="6" t="s">
        <v>11</v>
      </c>
      <c r="G1107" s="8">
        <v>87.8</v>
      </c>
      <c r="H1107" s="6"/>
    </row>
    <row r="1108" spans="1:8">
      <c r="A1108" s="5">
        <v>968</v>
      </c>
      <c r="B1108" s="6" t="str">
        <f>"刘倩"</f>
        <v>刘倩</v>
      </c>
      <c r="C1108" s="6" t="str">
        <f t="shared" si="47"/>
        <v>女</v>
      </c>
      <c r="D1108" s="6" t="str">
        <f>"202117030301"</f>
        <v>202117030301</v>
      </c>
      <c r="E1108" s="10" t="s">
        <v>20</v>
      </c>
      <c r="F1108" s="6" t="s">
        <v>11</v>
      </c>
      <c r="G1108" s="8">
        <v>61.25</v>
      </c>
      <c r="H1108" s="6"/>
    </row>
    <row r="1109" spans="1:8">
      <c r="A1109" s="5">
        <v>1059</v>
      </c>
      <c r="B1109" s="6" t="str">
        <f>"周雅艳"</f>
        <v>周雅艳</v>
      </c>
      <c r="C1109" s="6" t="str">
        <f t="shared" si="47"/>
        <v>女</v>
      </c>
      <c r="D1109" s="6" t="str">
        <f>"202117030302"</f>
        <v>202117030302</v>
      </c>
      <c r="E1109" s="10" t="s">
        <v>20</v>
      </c>
      <c r="F1109" s="6" t="s">
        <v>11</v>
      </c>
      <c r="G1109" s="8">
        <v>62.95</v>
      </c>
      <c r="H1109" s="6"/>
    </row>
    <row r="1110" spans="1:8">
      <c r="A1110" s="5">
        <v>923</v>
      </c>
      <c r="B1110" s="6" t="str">
        <f>"李沛"</f>
        <v>李沛</v>
      </c>
      <c r="C1110" s="6" t="str">
        <f>"男"</f>
        <v>男</v>
      </c>
      <c r="D1110" s="6" t="str">
        <f>"202117030303"</f>
        <v>202117030303</v>
      </c>
      <c r="E1110" s="10" t="s">
        <v>20</v>
      </c>
      <c r="F1110" s="6" t="s">
        <v>11</v>
      </c>
      <c r="G1110" s="8">
        <v>59.8</v>
      </c>
      <c r="H1110" s="6"/>
    </row>
    <row r="1111" spans="1:8">
      <c r="A1111" s="5">
        <v>1109</v>
      </c>
      <c r="B1111" s="6" t="str">
        <f>"彭玲"</f>
        <v>彭玲</v>
      </c>
      <c r="C1111" s="6" t="str">
        <f>"女"</f>
        <v>女</v>
      </c>
      <c r="D1111" s="6" t="str">
        <f>"202117030304"</f>
        <v>202117030304</v>
      </c>
      <c r="E1111" s="10" t="s">
        <v>20</v>
      </c>
      <c r="F1111" s="6" t="s">
        <v>11</v>
      </c>
      <c r="G1111" s="8">
        <v>86.35</v>
      </c>
      <c r="H1111" s="6"/>
    </row>
    <row r="1112" spans="1:8">
      <c r="A1112" s="5">
        <v>1175</v>
      </c>
      <c r="B1112" s="6" t="str">
        <f>"袁海亚"</f>
        <v>袁海亚</v>
      </c>
      <c r="C1112" s="6" t="str">
        <f>"女"</f>
        <v>女</v>
      </c>
      <c r="D1112" s="6" t="str">
        <f>"202117030305"</f>
        <v>202117030305</v>
      </c>
      <c r="E1112" s="10" t="s">
        <v>20</v>
      </c>
      <c r="F1112" s="6" t="s">
        <v>11</v>
      </c>
      <c r="G1112" s="8">
        <v>72.95</v>
      </c>
      <c r="H1112" s="6"/>
    </row>
    <row r="1113" spans="1:8">
      <c r="A1113" s="5">
        <v>1007</v>
      </c>
      <c r="B1113" s="6" t="str">
        <f>"周玉英"</f>
        <v>周玉英</v>
      </c>
      <c r="C1113" s="6" t="str">
        <f>"女"</f>
        <v>女</v>
      </c>
      <c r="D1113" s="6" t="str">
        <f>"202117030306"</f>
        <v>202117030306</v>
      </c>
      <c r="E1113" s="10" t="s">
        <v>20</v>
      </c>
      <c r="F1113" s="6" t="s">
        <v>11</v>
      </c>
      <c r="G1113" s="8">
        <v>0</v>
      </c>
      <c r="H1113" s="9">
        <v>1</v>
      </c>
    </row>
    <row r="1114" spans="1:8">
      <c r="A1114" s="5">
        <v>1151</v>
      </c>
      <c r="B1114" s="6" t="str">
        <f>"刘懿"</f>
        <v>刘懿</v>
      </c>
      <c r="C1114" s="6" t="str">
        <f>"女"</f>
        <v>女</v>
      </c>
      <c r="D1114" s="6" t="str">
        <f>"202117030307"</f>
        <v>202117030307</v>
      </c>
      <c r="E1114" s="10" t="s">
        <v>20</v>
      </c>
      <c r="F1114" s="6" t="s">
        <v>11</v>
      </c>
      <c r="G1114" s="8">
        <v>88.05</v>
      </c>
      <c r="H1114" s="6"/>
    </row>
    <row r="1115" spans="1:8">
      <c r="A1115" s="5">
        <v>885</v>
      </c>
      <c r="B1115" s="6" t="str">
        <f>"罗满圆"</f>
        <v>罗满圆</v>
      </c>
      <c r="C1115" s="6" t="str">
        <f>"男"</f>
        <v>男</v>
      </c>
      <c r="D1115" s="6" t="str">
        <f>"202117030308"</f>
        <v>202117030308</v>
      </c>
      <c r="E1115" s="10" t="s">
        <v>20</v>
      </c>
      <c r="F1115" s="6" t="s">
        <v>11</v>
      </c>
      <c r="G1115" s="8">
        <v>86.55</v>
      </c>
      <c r="H1115" s="6"/>
    </row>
    <row r="1116" spans="1:8">
      <c r="A1116" s="5">
        <v>1149</v>
      </c>
      <c r="B1116" s="6" t="str">
        <f>"吴啟朋"</f>
        <v>吴啟朋</v>
      </c>
      <c r="C1116" s="6" t="str">
        <f>"男"</f>
        <v>男</v>
      </c>
      <c r="D1116" s="6" t="str">
        <f>"202117030309"</f>
        <v>202117030309</v>
      </c>
      <c r="E1116" s="10" t="s">
        <v>20</v>
      </c>
      <c r="F1116" s="6" t="s">
        <v>11</v>
      </c>
      <c r="G1116" s="8">
        <v>90</v>
      </c>
      <c r="H1116" s="6"/>
    </row>
    <row r="1117" spans="1:8">
      <c r="A1117" s="5">
        <v>972</v>
      </c>
      <c r="B1117" s="6" t="str">
        <f>"胡好妹"</f>
        <v>胡好妹</v>
      </c>
      <c r="C1117" s="6" t="str">
        <f>"女"</f>
        <v>女</v>
      </c>
      <c r="D1117" s="6" t="str">
        <f>"202117030310"</f>
        <v>202117030310</v>
      </c>
      <c r="E1117" s="10" t="s">
        <v>20</v>
      </c>
      <c r="F1117" s="6" t="s">
        <v>11</v>
      </c>
      <c r="G1117" s="8">
        <v>0</v>
      </c>
      <c r="H1117" s="9">
        <v>1</v>
      </c>
    </row>
    <row r="1118" spans="1:8">
      <c r="A1118" s="5">
        <v>1211</v>
      </c>
      <c r="B1118" s="6" t="str">
        <f>"陈淑雯"</f>
        <v>陈淑雯</v>
      </c>
      <c r="C1118" s="6" t="str">
        <f>"女"</f>
        <v>女</v>
      </c>
      <c r="D1118" s="6" t="str">
        <f>"202117030311"</f>
        <v>202117030311</v>
      </c>
      <c r="E1118" s="10" t="s">
        <v>20</v>
      </c>
      <c r="F1118" s="6" t="s">
        <v>11</v>
      </c>
      <c r="G1118" s="8">
        <v>77.400000000000006</v>
      </c>
      <c r="H1118" s="6"/>
    </row>
    <row r="1119" spans="1:8">
      <c r="A1119" s="5">
        <v>866</v>
      </c>
      <c r="B1119" s="6" t="str">
        <f>"沈艳兵"</f>
        <v>沈艳兵</v>
      </c>
      <c r="C1119" s="6" t="str">
        <f>"男"</f>
        <v>男</v>
      </c>
      <c r="D1119" s="6" t="str">
        <f>"202117030312"</f>
        <v>202117030312</v>
      </c>
      <c r="E1119" s="10" t="s">
        <v>20</v>
      </c>
      <c r="F1119" s="6" t="s">
        <v>11</v>
      </c>
      <c r="G1119" s="8">
        <v>0</v>
      </c>
      <c r="H1119" s="9">
        <v>1</v>
      </c>
    </row>
    <row r="1120" spans="1:8">
      <c r="A1120" s="5">
        <v>1221</v>
      </c>
      <c r="B1120" s="6" t="str">
        <f>"阮敏敏"</f>
        <v>阮敏敏</v>
      </c>
      <c r="C1120" s="6" t="str">
        <f>"女"</f>
        <v>女</v>
      </c>
      <c r="D1120" s="6" t="str">
        <f>"202117030313"</f>
        <v>202117030313</v>
      </c>
      <c r="E1120" s="10" t="s">
        <v>20</v>
      </c>
      <c r="F1120" s="6" t="s">
        <v>11</v>
      </c>
      <c r="G1120" s="8">
        <v>90</v>
      </c>
      <c r="H1120" s="6"/>
    </row>
    <row r="1121" spans="1:8">
      <c r="A1121" s="5">
        <v>1145</v>
      </c>
      <c r="B1121" s="6" t="str">
        <f>"戴蓉"</f>
        <v>戴蓉</v>
      </c>
      <c r="C1121" s="6" t="str">
        <f>"女"</f>
        <v>女</v>
      </c>
      <c r="D1121" s="6" t="str">
        <f>"202117030314"</f>
        <v>202117030314</v>
      </c>
      <c r="E1121" s="10" t="s">
        <v>20</v>
      </c>
      <c r="F1121" s="6" t="s">
        <v>11</v>
      </c>
      <c r="G1121" s="8">
        <v>92.75</v>
      </c>
      <c r="H1121" s="6"/>
    </row>
    <row r="1122" spans="1:8">
      <c r="A1122" s="5">
        <v>928</v>
      </c>
      <c r="B1122" s="6" t="str">
        <f>"郑小艳"</f>
        <v>郑小艳</v>
      </c>
      <c r="C1122" s="6" t="str">
        <f>"女"</f>
        <v>女</v>
      </c>
      <c r="D1122" s="6" t="str">
        <f>"202117030315"</f>
        <v>202117030315</v>
      </c>
      <c r="E1122" s="10" t="s">
        <v>20</v>
      </c>
      <c r="F1122" s="6" t="s">
        <v>11</v>
      </c>
      <c r="G1122" s="8">
        <v>87.3</v>
      </c>
      <c r="H1122" s="6"/>
    </row>
    <row r="1123" spans="1:8">
      <c r="A1123" s="5">
        <v>1009</v>
      </c>
      <c r="B1123" s="6" t="str">
        <f>"李洁颖"</f>
        <v>李洁颖</v>
      </c>
      <c r="C1123" s="6" t="str">
        <f>"女"</f>
        <v>女</v>
      </c>
      <c r="D1123" s="6" t="str">
        <f>"202117030316"</f>
        <v>202117030316</v>
      </c>
      <c r="E1123" s="10" t="s">
        <v>20</v>
      </c>
      <c r="F1123" s="6" t="s">
        <v>11</v>
      </c>
      <c r="G1123" s="8">
        <v>90.5</v>
      </c>
      <c r="H1123" s="6"/>
    </row>
    <row r="1124" spans="1:8">
      <c r="A1124" s="5">
        <v>1206</v>
      </c>
      <c r="B1124" s="6" t="str">
        <f>"贺淑云"</f>
        <v>贺淑云</v>
      </c>
      <c r="C1124" s="6" t="str">
        <f>"女"</f>
        <v>女</v>
      </c>
      <c r="D1124" s="6" t="str">
        <f>"202117030317"</f>
        <v>202117030317</v>
      </c>
      <c r="E1124" s="10" t="s">
        <v>20</v>
      </c>
      <c r="F1124" s="6" t="s">
        <v>11</v>
      </c>
      <c r="G1124" s="8">
        <v>75.45</v>
      </c>
      <c r="H1124" s="6"/>
    </row>
    <row r="1125" spans="1:8">
      <c r="A1125" s="5">
        <v>1036</v>
      </c>
      <c r="B1125" s="6" t="str">
        <f>"刘洪波"</f>
        <v>刘洪波</v>
      </c>
      <c r="C1125" s="6" t="str">
        <f>"男"</f>
        <v>男</v>
      </c>
      <c r="D1125" s="6" t="str">
        <f>"202117030318"</f>
        <v>202117030318</v>
      </c>
      <c r="E1125" s="10" t="s">
        <v>20</v>
      </c>
      <c r="F1125" s="6" t="s">
        <v>11</v>
      </c>
      <c r="G1125" s="8">
        <v>93.5</v>
      </c>
      <c r="H1125" s="6"/>
    </row>
    <row r="1126" spans="1:8">
      <c r="A1126" s="5">
        <v>887</v>
      </c>
      <c r="B1126" s="6" t="str">
        <f>"唐铖"</f>
        <v>唐铖</v>
      </c>
      <c r="C1126" s="6" t="str">
        <f>"男"</f>
        <v>男</v>
      </c>
      <c r="D1126" s="6" t="str">
        <f>"202117030319"</f>
        <v>202117030319</v>
      </c>
      <c r="E1126" s="10" t="s">
        <v>20</v>
      </c>
      <c r="F1126" s="6" t="s">
        <v>11</v>
      </c>
      <c r="G1126" s="8">
        <v>85.5</v>
      </c>
      <c r="H1126" s="6"/>
    </row>
    <row r="1127" spans="1:8">
      <c r="A1127" s="5">
        <v>956</v>
      </c>
      <c r="B1127" s="6" t="str">
        <f>"龙倩美"</f>
        <v>龙倩美</v>
      </c>
      <c r="C1127" s="6" t="str">
        <f>"女"</f>
        <v>女</v>
      </c>
      <c r="D1127" s="6" t="str">
        <f>"202117030320"</f>
        <v>202117030320</v>
      </c>
      <c r="E1127" s="10" t="s">
        <v>20</v>
      </c>
      <c r="F1127" s="6" t="s">
        <v>11</v>
      </c>
      <c r="G1127" s="8">
        <v>80.2</v>
      </c>
      <c r="H1127" s="6"/>
    </row>
    <row r="1128" spans="1:8">
      <c r="A1128" s="5">
        <v>1154</v>
      </c>
      <c r="B1128" s="6" t="str">
        <f>"肖军风"</f>
        <v>肖军风</v>
      </c>
      <c r="C1128" s="6" t="str">
        <f>"男"</f>
        <v>男</v>
      </c>
      <c r="D1128" s="6" t="str">
        <f>"202117030321"</f>
        <v>202117030321</v>
      </c>
      <c r="E1128" s="10" t="s">
        <v>20</v>
      </c>
      <c r="F1128" s="6" t="s">
        <v>11</v>
      </c>
      <c r="G1128" s="8">
        <v>66.5</v>
      </c>
      <c r="H1128" s="6"/>
    </row>
    <row r="1129" spans="1:8">
      <c r="A1129" s="5">
        <v>1146</v>
      </c>
      <c r="B1129" s="6" t="str">
        <f>"罗丹"</f>
        <v>罗丹</v>
      </c>
      <c r="C1129" s="6" t="str">
        <f>"女"</f>
        <v>女</v>
      </c>
      <c r="D1129" s="6" t="str">
        <f>"202117030322"</f>
        <v>202117030322</v>
      </c>
      <c r="E1129" s="10" t="s">
        <v>20</v>
      </c>
      <c r="F1129" s="6" t="s">
        <v>11</v>
      </c>
      <c r="G1129" s="8">
        <v>88.8</v>
      </c>
      <c r="H1129" s="6"/>
    </row>
    <row r="1130" spans="1:8">
      <c r="A1130" s="5">
        <v>1139</v>
      </c>
      <c r="B1130" s="6" t="str">
        <f>"杨劼"</f>
        <v>杨劼</v>
      </c>
      <c r="C1130" s="6" t="str">
        <f>"男"</f>
        <v>男</v>
      </c>
      <c r="D1130" s="6" t="str">
        <f>"202117030323"</f>
        <v>202117030323</v>
      </c>
      <c r="E1130" s="10" t="s">
        <v>20</v>
      </c>
      <c r="F1130" s="6" t="s">
        <v>11</v>
      </c>
      <c r="G1130" s="8">
        <v>72.349999999999994</v>
      </c>
      <c r="H1130" s="6"/>
    </row>
    <row r="1131" spans="1:8">
      <c r="A1131" s="5">
        <v>993</v>
      </c>
      <c r="B1131" s="6" t="str">
        <f>"张维"</f>
        <v>张维</v>
      </c>
      <c r="C1131" s="6" t="str">
        <f>"女"</f>
        <v>女</v>
      </c>
      <c r="D1131" s="6" t="str">
        <f>"202117030324"</f>
        <v>202117030324</v>
      </c>
      <c r="E1131" s="10" t="s">
        <v>20</v>
      </c>
      <c r="F1131" s="6" t="s">
        <v>11</v>
      </c>
      <c r="G1131" s="8">
        <v>85</v>
      </c>
      <c r="H1131" s="6"/>
    </row>
    <row r="1132" spans="1:8">
      <c r="A1132" s="5">
        <v>1039</v>
      </c>
      <c r="B1132" s="6" t="str">
        <f>"叶盛子"</f>
        <v>叶盛子</v>
      </c>
      <c r="C1132" s="6" t="str">
        <f>"男"</f>
        <v>男</v>
      </c>
      <c r="D1132" s="6" t="str">
        <f>"202117030325"</f>
        <v>202117030325</v>
      </c>
      <c r="E1132" s="10" t="s">
        <v>20</v>
      </c>
      <c r="F1132" s="6" t="s">
        <v>11</v>
      </c>
      <c r="G1132" s="8">
        <v>94.5</v>
      </c>
      <c r="H1132" s="6"/>
    </row>
    <row r="1133" spans="1:8">
      <c r="A1133" s="5">
        <v>871</v>
      </c>
      <c r="B1133" s="6" t="str">
        <f>"李函徽"</f>
        <v>李函徽</v>
      </c>
      <c r="C1133" s="6" t="str">
        <f>"女"</f>
        <v>女</v>
      </c>
      <c r="D1133" s="6" t="str">
        <f>"202117030326"</f>
        <v>202117030326</v>
      </c>
      <c r="E1133" s="10" t="s">
        <v>20</v>
      </c>
      <c r="F1133" s="6" t="s">
        <v>11</v>
      </c>
      <c r="G1133" s="8">
        <v>87.5</v>
      </c>
      <c r="H1133" s="6"/>
    </row>
    <row r="1134" spans="1:8">
      <c r="A1134" s="5">
        <v>1174</v>
      </c>
      <c r="B1134" s="6" t="str">
        <f>"倪梦玲"</f>
        <v>倪梦玲</v>
      </c>
      <c r="C1134" s="6" t="str">
        <f>"女"</f>
        <v>女</v>
      </c>
      <c r="D1134" s="6" t="str">
        <f>"202117030327"</f>
        <v>202117030327</v>
      </c>
      <c r="E1134" s="10" t="s">
        <v>20</v>
      </c>
      <c r="F1134" s="6" t="s">
        <v>11</v>
      </c>
      <c r="G1134" s="8">
        <v>86.1</v>
      </c>
      <c r="H1134" s="6"/>
    </row>
    <row r="1135" spans="1:8">
      <c r="A1135" s="5">
        <v>1180</v>
      </c>
      <c r="B1135" s="6" t="str">
        <f>"刘首威"</f>
        <v>刘首威</v>
      </c>
      <c r="C1135" s="6" t="str">
        <f>"男"</f>
        <v>男</v>
      </c>
      <c r="D1135" s="6" t="str">
        <f>"202117030328"</f>
        <v>202117030328</v>
      </c>
      <c r="E1135" s="10" t="s">
        <v>20</v>
      </c>
      <c r="F1135" s="6" t="s">
        <v>11</v>
      </c>
      <c r="G1135" s="8">
        <v>94.5</v>
      </c>
      <c r="H1135" s="6"/>
    </row>
    <row r="1136" spans="1:8">
      <c r="A1136" s="5">
        <v>1186</v>
      </c>
      <c r="B1136" s="6" t="str">
        <f>"石珊"</f>
        <v>石珊</v>
      </c>
      <c r="C1136" s="6" t="str">
        <f>"女"</f>
        <v>女</v>
      </c>
      <c r="D1136" s="6" t="str">
        <f>"202117030329"</f>
        <v>202117030329</v>
      </c>
      <c r="E1136" s="10" t="s">
        <v>20</v>
      </c>
      <c r="F1136" s="6" t="s">
        <v>11</v>
      </c>
      <c r="G1136" s="8">
        <v>73.599999999999994</v>
      </c>
      <c r="H1136" s="6"/>
    </row>
    <row r="1137" spans="1:8">
      <c r="A1137" s="5">
        <v>1037</v>
      </c>
      <c r="B1137" s="6" t="str">
        <f>"刘瑜瑾"</f>
        <v>刘瑜瑾</v>
      </c>
      <c r="C1137" s="6" t="str">
        <f>"女"</f>
        <v>女</v>
      </c>
      <c r="D1137" s="6" t="str">
        <f>"202117030330"</f>
        <v>202117030330</v>
      </c>
      <c r="E1137" s="10" t="s">
        <v>20</v>
      </c>
      <c r="F1137" s="6" t="s">
        <v>11</v>
      </c>
      <c r="G1137" s="8">
        <v>72.75</v>
      </c>
      <c r="H1137" s="6"/>
    </row>
    <row r="1138" spans="1:8">
      <c r="A1138" s="5">
        <v>1022</v>
      </c>
      <c r="B1138" s="6" t="str">
        <f>"黄飞蓉"</f>
        <v>黄飞蓉</v>
      </c>
      <c r="C1138" s="6" t="str">
        <f>"女"</f>
        <v>女</v>
      </c>
      <c r="D1138" s="6" t="str">
        <f>"202117030401"</f>
        <v>202117030401</v>
      </c>
      <c r="E1138" s="10" t="s">
        <v>20</v>
      </c>
      <c r="F1138" s="6" t="s">
        <v>11</v>
      </c>
      <c r="G1138" s="8">
        <v>56.15</v>
      </c>
      <c r="H1138" s="6"/>
    </row>
    <row r="1139" spans="1:8">
      <c r="A1139" s="5">
        <v>1198</v>
      </c>
      <c r="B1139" s="6" t="str">
        <f>"胡昭秀"</f>
        <v>胡昭秀</v>
      </c>
      <c r="C1139" s="6" t="str">
        <f>"女"</f>
        <v>女</v>
      </c>
      <c r="D1139" s="6" t="str">
        <f>"202117030402"</f>
        <v>202117030402</v>
      </c>
      <c r="E1139" s="10" t="s">
        <v>20</v>
      </c>
      <c r="F1139" s="6" t="s">
        <v>11</v>
      </c>
      <c r="G1139" s="8">
        <v>78.7</v>
      </c>
      <c r="H1139" s="6"/>
    </row>
    <row r="1140" spans="1:8">
      <c r="A1140" s="5">
        <v>1168</v>
      </c>
      <c r="B1140" s="6" t="str">
        <f>"曾豪"</f>
        <v>曾豪</v>
      </c>
      <c r="C1140" s="6" t="str">
        <f>"男"</f>
        <v>男</v>
      </c>
      <c r="D1140" s="6" t="str">
        <f>"202117030403"</f>
        <v>202117030403</v>
      </c>
      <c r="E1140" s="10" t="s">
        <v>20</v>
      </c>
      <c r="F1140" s="6" t="s">
        <v>11</v>
      </c>
      <c r="G1140" s="8">
        <v>84.55</v>
      </c>
      <c r="H1140" s="6"/>
    </row>
    <row r="1141" spans="1:8">
      <c r="A1141" s="5">
        <v>1017</v>
      </c>
      <c r="B1141" s="6" t="str">
        <f>"姜鑫"</f>
        <v>姜鑫</v>
      </c>
      <c r="C1141" s="6" t="str">
        <f>"男"</f>
        <v>男</v>
      </c>
      <c r="D1141" s="6" t="str">
        <f>"202117030404"</f>
        <v>202117030404</v>
      </c>
      <c r="E1141" s="10" t="s">
        <v>20</v>
      </c>
      <c r="F1141" s="6" t="s">
        <v>11</v>
      </c>
      <c r="G1141" s="8">
        <v>48.7</v>
      </c>
      <c r="H1141" s="6"/>
    </row>
    <row r="1142" spans="1:8">
      <c r="A1142" s="5">
        <v>946</v>
      </c>
      <c r="B1142" s="6" t="str">
        <f>"唐安明"</f>
        <v>唐安明</v>
      </c>
      <c r="C1142" s="6" t="str">
        <f>"男"</f>
        <v>男</v>
      </c>
      <c r="D1142" s="6" t="str">
        <f>"202117030405"</f>
        <v>202117030405</v>
      </c>
      <c r="E1142" s="10" t="s">
        <v>20</v>
      </c>
      <c r="F1142" s="6" t="s">
        <v>11</v>
      </c>
      <c r="G1142" s="8">
        <v>66.2</v>
      </c>
      <c r="H1142" s="6"/>
    </row>
    <row r="1143" spans="1:8">
      <c r="A1143" s="5">
        <v>863</v>
      </c>
      <c r="B1143" s="6" t="str">
        <f>"李敏敏"</f>
        <v>李敏敏</v>
      </c>
      <c r="C1143" s="6" t="str">
        <f t="shared" ref="C1143:C1155" si="48">"女"</f>
        <v>女</v>
      </c>
      <c r="D1143" s="6" t="str">
        <f>"202117030406"</f>
        <v>202117030406</v>
      </c>
      <c r="E1143" s="10" t="s">
        <v>20</v>
      </c>
      <c r="F1143" s="6" t="s">
        <v>11</v>
      </c>
      <c r="G1143" s="8">
        <v>0</v>
      </c>
      <c r="H1143" s="9">
        <v>1</v>
      </c>
    </row>
    <row r="1144" spans="1:8">
      <c r="A1144" s="5">
        <v>1071</v>
      </c>
      <c r="B1144" s="6" t="str">
        <f>"刘伊妮"</f>
        <v>刘伊妮</v>
      </c>
      <c r="C1144" s="6" t="str">
        <f t="shared" si="48"/>
        <v>女</v>
      </c>
      <c r="D1144" s="6" t="str">
        <f>"202117030407"</f>
        <v>202117030407</v>
      </c>
      <c r="E1144" s="10" t="s">
        <v>20</v>
      </c>
      <c r="F1144" s="6" t="s">
        <v>11</v>
      </c>
      <c r="G1144" s="8">
        <v>91.3</v>
      </c>
      <c r="H1144" s="6"/>
    </row>
    <row r="1145" spans="1:8">
      <c r="A1145" s="5">
        <v>1081</v>
      </c>
      <c r="B1145" s="6" t="str">
        <f>"邓钰滢"</f>
        <v>邓钰滢</v>
      </c>
      <c r="C1145" s="6" t="str">
        <f t="shared" si="48"/>
        <v>女</v>
      </c>
      <c r="D1145" s="6" t="str">
        <f>"202117030408"</f>
        <v>202117030408</v>
      </c>
      <c r="E1145" s="10" t="s">
        <v>20</v>
      </c>
      <c r="F1145" s="6" t="s">
        <v>11</v>
      </c>
      <c r="G1145" s="8">
        <v>0</v>
      </c>
      <c r="H1145" s="9">
        <v>1</v>
      </c>
    </row>
    <row r="1146" spans="1:8">
      <c r="A1146" s="5">
        <v>878</v>
      </c>
      <c r="B1146" s="6" t="str">
        <f>"石倩"</f>
        <v>石倩</v>
      </c>
      <c r="C1146" s="6" t="str">
        <f t="shared" si="48"/>
        <v>女</v>
      </c>
      <c r="D1146" s="6" t="str">
        <f>"202117030409"</f>
        <v>202117030409</v>
      </c>
      <c r="E1146" s="10" t="s">
        <v>20</v>
      </c>
      <c r="F1146" s="6" t="s">
        <v>11</v>
      </c>
      <c r="G1146" s="8">
        <v>61.5</v>
      </c>
      <c r="H1146" s="6"/>
    </row>
    <row r="1147" spans="1:8">
      <c r="A1147" s="5">
        <v>1132</v>
      </c>
      <c r="B1147" s="6" t="str">
        <f>"罗鹦"</f>
        <v>罗鹦</v>
      </c>
      <c r="C1147" s="6" t="str">
        <f t="shared" si="48"/>
        <v>女</v>
      </c>
      <c r="D1147" s="6" t="str">
        <f>"202117030410"</f>
        <v>202117030410</v>
      </c>
      <c r="E1147" s="10" t="s">
        <v>20</v>
      </c>
      <c r="F1147" s="6" t="s">
        <v>11</v>
      </c>
      <c r="G1147" s="8">
        <v>54.15</v>
      </c>
      <c r="H1147" s="6"/>
    </row>
    <row r="1148" spans="1:8">
      <c r="A1148" s="5">
        <v>960</v>
      </c>
      <c r="B1148" s="6" t="str">
        <f>"何雅甜"</f>
        <v>何雅甜</v>
      </c>
      <c r="C1148" s="6" t="str">
        <f t="shared" si="48"/>
        <v>女</v>
      </c>
      <c r="D1148" s="6" t="str">
        <f>"202117030411"</f>
        <v>202117030411</v>
      </c>
      <c r="E1148" s="10" t="s">
        <v>20</v>
      </c>
      <c r="F1148" s="6" t="s">
        <v>11</v>
      </c>
      <c r="G1148" s="8">
        <v>76.849999999999994</v>
      </c>
      <c r="H1148" s="6"/>
    </row>
    <row r="1149" spans="1:8">
      <c r="A1149" s="5">
        <v>1203</v>
      </c>
      <c r="B1149" s="6" t="str">
        <f>"罗丽华"</f>
        <v>罗丽华</v>
      </c>
      <c r="C1149" s="6" t="str">
        <f t="shared" si="48"/>
        <v>女</v>
      </c>
      <c r="D1149" s="6" t="str">
        <f>"202117030412"</f>
        <v>202117030412</v>
      </c>
      <c r="E1149" s="10" t="s">
        <v>20</v>
      </c>
      <c r="F1149" s="6" t="s">
        <v>11</v>
      </c>
      <c r="G1149" s="8">
        <v>85.35</v>
      </c>
      <c r="H1149" s="6"/>
    </row>
    <row r="1150" spans="1:8">
      <c r="A1150" s="5">
        <v>1098</v>
      </c>
      <c r="B1150" s="6" t="str">
        <f>"朱秀玲"</f>
        <v>朱秀玲</v>
      </c>
      <c r="C1150" s="6" t="str">
        <f t="shared" si="48"/>
        <v>女</v>
      </c>
      <c r="D1150" s="6" t="str">
        <f>"202117030413"</f>
        <v>202117030413</v>
      </c>
      <c r="E1150" s="10" t="s">
        <v>20</v>
      </c>
      <c r="F1150" s="6" t="s">
        <v>11</v>
      </c>
      <c r="G1150" s="8">
        <v>60.4</v>
      </c>
      <c r="H1150" s="6"/>
    </row>
    <row r="1151" spans="1:8">
      <c r="A1151" s="5">
        <v>1166</v>
      </c>
      <c r="B1151" s="6" t="str">
        <f>"申颖"</f>
        <v>申颖</v>
      </c>
      <c r="C1151" s="6" t="str">
        <f t="shared" si="48"/>
        <v>女</v>
      </c>
      <c r="D1151" s="6" t="str">
        <f>"202117030414"</f>
        <v>202117030414</v>
      </c>
      <c r="E1151" s="10" t="s">
        <v>20</v>
      </c>
      <c r="F1151" s="6" t="s">
        <v>11</v>
      </c>
      <c r="G1151" s="8">
        <v>59</v>
      </c>
      <c r="H1151" s="6"/>
    </row>
    <row r="1152" spans="1:8">
      <c r="A1152" s="5">
        <v>1088</v>
      </c>
      <c r="B1152" s="6" t="str">
        <f>"王海霞"</f>
        <v>王海霞</v>
      </c>
      <c r="C1152" s="6" t="str">
        <f t="shared" si="48"/>
        <v>女</v>
      </c>
      <c r="D1152" s="6" t="str">
        <f>"202117030415"</f>
        <v>202117030415</v>
      </c>
      <c r="E1152" s="10" t="s">
        <v>20</v>
      </c>
      <c r="F1152" s="6" t="s">
        <v>11</v>
      </c>
      <c r="G1152" s="8">
        <v>0</v>
      </c>
      <c r="H1152" s="9">
        <v>1</v>
      </c>
    </row>
    <row r="1153" spans="1:8">
      <c r="A1153" s="5">
        <v>912</v>
      </c>
      <c r="B1153" s="6" t="str">
        <f>"艾娟"</f>
        <v>艾娟</v>
      </c>
      <c r="C1153" s="6" t="str">
        <f t="shared" si="48"/>
        <v>女</v>
      </c>
      <c r="D1153" s="6" t="str">
        <f>"202117030416"</f>
        <v>202117030416</v>
      </c>
      <c r="E1153" s="10" t="s">
        <v>20</v>
      </c>
      <c r="F1153" s="6" t="s">
        <v>11</v>
      </c>
      <c r="G1153" s="8">
        <v>90.25</v>
      </c>
      <c r="H1153" s="6"/>
    </row>
    <row r="1154" spans="1:8">
      <c r="A1154" s="5">
        <v>983</v>
      </c>
      <c r="B1154" s="6" t="str">
        <f>"罗京"</f>
        <v>罗京</v>
      </c>
      <c r="C1154" s="6" t="str">
        <f t="shared" si="48"/>
        <v>女</v>
      </c>
      <c r="D1154" s="6" t="str">
        <f>"202117030417"</f>
        <v>202117030417</v>
      </c>
      <c r="E1154" s="10" t="s">
        <v>20</v>
      </c>
      <c r="F1154" s="6" t="s">
        <v>11</v>
      </c>
      <c r="G1154" s="8">
        <v>73.150000000000006</v>
      </c>
      <c r="H1154" s="6"/>
    </row>
    <row r="1155" spans="1:8">
      <c r="A1155" s="5">
        <v>1138</v>
      </c>
      <c r="B1155" s="6" t="str">
        <f>"孙冰清"</f>
        <v>孙冰清</v>
      </c>
      <c r="C1155" s="6" t="str">
        <f t="shared" si="48"/>
        <v>女</v>
      </c>
      <c r="D1155" s="6" t="str">
        <f>"202117030418"</f>
        <v>202117030418</v>
      </c>
      <c r="E1155" s="10" t="s">
        <v>20</v>
      </c>
      <c r="F1155" s="6" t="s">
        <v>11</v>
      </c>
      <c r="G1155" s="8">
        <v>83.55</v>
      </c>
      <c r="H1155" s="6"/>
    </row>
    <row r="1156" spans="1:8">
      <c r="A1156" s="5">
        <v>1035</v>
      </c>
      <c r="B1156" s="6" t="str">
        <f>"卿哲"</f>
        <v>卿哲</v>
      </c>
      <c r="C1156" s="6" t="str">
        <f>"男"</f>
        <v>男</v>
      </c>
      <c r="D1156" s="6" t="str">
        <f>"202117030419"</f>
        <v>202117030419</v>
      </c>
      <c r="E1156" s="10" t="s">
        <v>20</v>
      </c>
      <c r="F1156" s="6" t="s">
        <v>11</v>
      </c>
      <c r="G1156" s="8">
        <v>80.95</v>
      </c>
      <c r="H1156" s="6"/>
    </row>
    <row r="1157" spans="1:8">
      <c r="A1157" s="5">
        <v>870</v>
      </c>
      <c r="B1157" s="6" t="str">
        <f>"徐惠"</f>
        <v>徐惠</v>
      </c>
      <c r="C1157" s="6" t="str">
        <f t="shared" ref="C1157:C1165" si="49">"女"</f>
        <v>女</v>
      </c>
      <c r="D1157" s="6" t="str">
        <f>"202117030420"</f>
        <v>202117030420</v>
      </c>
      <c r="E1157" s="10" t="s">
        <v>20</v>
      </c>
      <c r="F1157" s="6" t="s">
        <v>11</v>
      </c>
      <c r="G1157" s="8">
        <v>87.05</v>
      </c>
      <c r="H1157" s="6"/>
    </row>
    <row r="1158" spans="1:8">
      <c r="A1158" s="5">
        <v>958</v>
      </c>
      <c r="B1158" s="6" t="str">
        <f>"周月平"</f>
        <v>周月平</v>
      </c>
      <c r="C1158" s="6" t="str">
        <f t="shared" si="49"/>
        <v>女</v>
      </c>
      <c r="D1158" s="6" t="str">
        <f>"202117030421"</f>
        <v>202117030421</v>
      </c>
      <c r="E1158" s="10" t="s">
        <v>20</v>
      </c>
      <c r="F1158" s="6" t="s">
        <v>11</v>
      </c>
      <c r="G1158" s="8">
        <v>0</v>
      </c>
      <c r="H1158" s="9">
        <v>1</v>
      </c>
    </row>
    <row r="1159" spans="1:8">
      <c r="A1159" s="5">
        <v>944</v>
      </c>
      <c r="B1159" s="6" t="str">
        <f>"孙海兵"</f>
        <v>孙海兵</v>
      </c>
      <c r="C1159" s="6" t="str">
        <f t="shared" si="49"/>
        <v>女</v>
      </c>
      <c r="D1159" s="6" t="str">
        <f>"202117030422"</f>
        <v>202117030422</v>
      </c>
      <c r="E1159" s="10" t="s">
        <v>20</v>
      </c>
      <c r="F1159" s="6" t="s">
        <v>11</v>
      </c>
      <c r="G1159" s="8">
        <v>78.3</v>
      </c>
      <c r="H1159" s="6"/>
    </row>
    <row r="1160" spans="1:8">
      <c r="A1160" s="5">
        <v>1083</v>
      </c>
      <c r="B1160" s="6" t="str">
        <f>"李婷婷"</f>
        <v>李婷婷</v>
      </c>
      <c r="C1160" s="6" t="str">
        <f t="shared" si="49"/>
        <v>女</v>
      </c>
      <c r="D1160" s="6" t="str">
        <f>"202117030423"</f>
        <v>202117030423</v>
      </c>
      <c r="E1160" s="10" t="s">
        <v>20</v>
      </c>
      <c r="F1160" s="6" t="s">
        <v>11</v>
      </c>
      <c r="G1160" s="8">
        <v>68.5</v>
      </c>
      <c r="H1160" s="6"/>
    </row>
    <row r="1161" spans="1:8">
      <c r="A1161" s="5">
        <v>943</v>
      </c>
      <c r="B1161" s="6" t="str">
        <f>"石水婷"</f>
        <v>石水婷</v>
      </c>
      <c r="C1161" s="6" t="str">
        <f t="shared" si="49"/>
        <v>女</v>
      </c>
      <c r="D1161" s="6" t="str">
        <f>"202117030424"</f>
        <v>202117030424</v>
      </c>
      <c r="E1161" s="10" t="s">
        <v>20</v>
      </c>
      <c r="F1161" s="6" t="s">
        <v>11</v>
      </c>
      <c r="G1161" s="8">
        <v>87.5</v>
      </c>
      <c r="H1161" s="6"/>
    </row>
    <row r="1162" spans="1:8">
      <c r="A1162" s="5">
        <v>1019</v>
      </c>
      <c r="B1162" s="6" t="str">
        <f>"赵娟"</f>
        <v>赵娟</v>
      </c>
      <c r="C1162" s="6" t="str">
        <f t="shared" si="49"/>
        <v>女</v>
      </c>
      <c r="D1162" s="6" t="str">
        <f>"202117030425"</f>
        <v>202117030425</v>
      </c>
      <c r="E1162" s="10" t="s">
        <v>20</v>
      </c>
      <c r="F1162" s="6" t="s">
        <v>11</v>
      </c>
      <c r="G1162" s="8">
        <v>90.25</v>
      </c>
      <c r="H1162" s="6"/>
    </row>
    <row r="1163" spans="1:8">
      <c r="A1163" s="5">
        <v>955</v>
      </c>
      <c r="B1163" s="6" t="str">
        <f>"李雨晴"</f>
        <v>李雨晴</v>
      </c>
      <c r="C1163" s="6" t="str">
        <f t="shared" si="49"/>
        <v>女</v>
      </c>
      <c r="D1163" s="6" t="str">
        <f>"202117030426"</f>
        <v>202117030426</v>
      </c>
      <c r="E1163" s="10" t="s">
        <v>20</v>
      </c>
      <c r="F1163" s="6" t="s">
        <v>11</v>
      </c>
      <c r="G1163" s="8">
        <v>72.25</v>
      </c>
      <c r="H1163" s="6"/>
    </row>
    <row r="1164" spans="1:8">
      <c r="A1164" s="5">
        <v>1080</v>
      </c>
      <c r="B1164" s="6" t="str">
        <f>"阮杏芝"</f>
        <v>阮杏芝</v>
      </c>
      <c r="C1164" s="6" t="str">
        <f t="shared" si="49"/>
        <v>女</v>
      </c>
      <c r="D1164" s="6" t="str">
        <f>"202117030427"</f>
        <v>202117030427</v>
      </c>
      <c r="E1164" s="10" t="s">
        <v>20</v>
      </c>
      <c r="F1164" s="6" t="s">
        <v>11</v>
      </c>
      <c r="G1164" s="8">
        <v>74.5</v>
      </c>
      <c r="H1164" s="6"/>
    </row>
    <row r="1165" spans="1:8">
      <c r="A1165" s="5">
        <v>932</v>
      </c>
      <c r="B1165" s="6" t="str">
        <f>"杨丽娟"</f>
        <v>杨丽娟</v>
      </c>
      <c r="C1165" s="6" t="str">
        <f t="shared" si="49"/>
        <v>女</v>
      </c>
      <c r="D1165" s="6" t="str">
        <f>"202117030428"</f>
        <v>202117030428</v>
      </c>
      <c r="E1165" s="10" t="s">
        <v>20</v>
      </c>
      <c r="F1165" s="6" t="s">
        <v>11</v>
      </c>
      <c r="G1165" s="8">
        <v>69.849999999999994</v>
      </c>
      <c r="H1165" s="6"/>
    </row>
    <row r="1166" spans="1:8">
      <c r="A1166" s="5">
        <v>935</v>
      </c>
      <c r="B1166" s="6" t="str">
        <f>"邓勇丹"</f>
        <v>邓勇丹</v>
      </c>
      <c r="C1166" s="6" t="str">
        <f>"男"</f>
        <v>男</v>
      </c>
      <c r="D1166" s="6" t="str">
        <f>"202117030429"</f>
        <v>202117030429</v>
      </c>
      <c r="E1166" s="10" t="s">
        <v>20</v>
      </c>
      <c r="F1166" s="6" t="s">
        <v>11</v>
      </c>
      <c r="G1166" s="8">
        <v>82.65</v>
      </c>
      <c r="H1166" s="6"/>
    </row>
    <row r="1167" spans="1:8">
      <c r="A1167" s="5">
        <v>852</v>
      </c>
      <c r="B1167" s="6" t="str">
        <f>"王政琅"</f>
        <v>王政琅</v>
      </c>
      <c r="C1167" s="6" t="str">
        <f>"男"</f>
        <v>男</v>
      </c>
      <c r="D1167" s="6" t="str">
        <f>"202117030430"</f>
        <v>202117030430</v>
      </c>
      <c r="E1167" s="10" t="s">
        <v>20</v>
      </c>
      <c r="F1167" s="6" t="s">
        <v>11</v>
      </c>
      <c r="G1167" s="8">
        <v>0</v>
      </c>
      <c r="H1167" s="9">
        <v>1</v>
      </c>
    </row>
    <row r="1168" spans="1:8">
      <c r="A1168" s="5">
        <v>1199</v>
      </c>
      <c r="B1168" s="6" t="str">
        <f>"颜亚玲"</f>
        <v>颜亚玲</v>
      </c>
      <c r="C1168" s="6" t="str">
        <f>"女"</f>
        <v>女</v>
      </c>
      <c r="D1168" s="6" t="str">
        <f>"202117030501"</f>
        <v>202117030501</v>
      </c>
      <c r="E1168" s="10" t="s">
        <v>20</v>
      </c>
      <c r="F1168" s="6" t="s">
        <v>11</v>
      </c>
      <c r="G1168" s="8">
        <v>91.05</v>
      </c>
      <c r="H1168" s="6"/>
    </row>
    <row r="1169" spans="1:8">
      <c r="A1169" s="5">
        <v>987</v>
      </c>
      <c r="B1169" s="6" t="str">
        <f>"黄群欢"</f>
        <v>黄群欢</v>
      </c>
      <c r="C1169" s="6" t="str">
        <f>"女"</f>
        <v>女</v>
      </c>
      <c r="D1169" s="6" t="str">
        <f>"202117030502"</f>
        <v>202117030502</v>
      </c>
      <c r="E1169" s="10" t="s">
        <v>20</v>
      </c>
      <c r="F1169" s="6" t="s">
        <v>11</v>
      </c>
      <c r="G1169" s="8">
        <v>67.3</v>
      </c>
      <c r="H1169" s="6"/>
    </row>
    <row r="1170" spans="1:8">
      <c r="A1170" s="5">
        <v>921</v>
      </c>
      <c r="B1170" s="6" t="str">
        <f>"王芳玲"</f>
        <v>王芳玲</v>
      </c>
      <c r="C1170" s="6" t="str">
        <f>"女"</f>
        <v>女</v>
      </c>
      <c r="D1170" s="6" t="str">
        <f>"202117030503"</f>
        <v>202117030503</v>
      </c>
      <c r="E1170" s="10" t="s">
        <v>20</v>
      </c>
      <c r="F1170" s="6" t="s">
        <v>11</v>
      </c>
      <c r="G1170" s="8">
        <v>64.3</v>
      </c>
      <c r="H1170" s="6"/>
    </row>
    <row r="1171" spans="1:8">
      <c r="A1171" s="5">
        <v>1068</v>
      </c>
      <c r="B1171" s="6" t="str">
        <f>"戴金成"</f>
        <v>戴金成</v>
      </c>
      <c r="C1171" s="6" t="str">
        <f>"男"</f>
        <v>男</v>
      </c>
      <c r="D1171" s="6" t="str">
        <f>"202117030504"</f>
        <v>202117030504</v>
      </c>
      <c r="E1171" s="10" t="s">
        <v>20</v>
      </c>
      <c r="F1171" s="6" t="s">
        <v>11</v>
      </c>
      <c r="G1171" s="8">
        <v>80.849999999999994</v>
      </c>
      <c r="H1171" s="6"/>
    </row>
    <row r="1172" spans="1:8">
      <c r="A1172" s="5">
        <v>959</v>
      </c>
      <c r="B1172" s="6" t="str">
        <f>"黄芳"</f>
        <v>黄芳</v>
      </c>
      <c r="C1172" s="6" t="str">
        <f t="shared" ref="C1172:C1185" si="50">"女"</f>
        <v>女</v>
      </c>
      <c r="D1172" s="6" t="str">
        <f>"202117030505"</f>
        <v>202117030505</v>
      </c>
      <c r="E1172" s="10" t="s">
        <v>20</v>
      </c>
      <c r="F1172" s="6" t="s">
        <v>11</v>
      </c>
      <c r="G1172" s="8">
        <v>88.3</v>
      </c>
      <c r="H1172" s="6"/>
    </row>
    <row r="1173" spans="1:8">
      <c r="A1173" s="5">
        <v>938</v>
      </c>
      <c r="B1173" s="6" t="str">
        <f>"王敏"</f>
        <v>王敏</v>
      </c>
      <c r="C1173" s="6" t="str">
        <f t="shared" si="50"/>
        <v>女</v>
      </c>
      <c r="D1173" s="6" t="str">
        <f>"202117030506"</f>
        <v>202117030506</v>
      </c>
      <c r="E1173" s="10" t="s">
        <v>20</v>
      </c>
      <c r="F1173" s="6" t="s">
        <v>11</v>
      </c>
      <c r="G1173" s="8">
        <v>87.05</v>
      </c>
      <c r="H1173" s="6"/>
    </row>
    <row r="1174" spans="1:8">
      <c r="A1174" s="5">
        <v>1191</v>
      </c>
      <c r="B1174" s="6" t="str">
        <f>"莫婕茹"</f>
        <v>莫婕茹</v>
      </c>
      <c r="C1174" s="6" t="str">
        <f t="shared" si="50"/>
        <v>女</v>
      </c>
      <c r="D1174" s="6" t="str">
        <f>"202117030507"</f>
        <v>202117030507</v>
      </c>
      <c r="E1174" s="10" t="s">
        <v>20</v>
      </c>
      <c r="F1174" s="6" t="s">
        <v>11</v>
      </c>
      <c r="G1174" s="8">
        <v>78.150000000000006</v>
      </c>
      <c r="H1174" s="6"/>
    </row>
    <row r="1175" spans="1:8">
      <c r="A1175" s="5">
        <v>1104</v>
      </c>
      <c r="B1175" s="6" t="str">
        <f>"宁阳洋"</f>
        <v>宁阳洋</v>
      </c>
      <c r="C1175" s="6" t="str">
        <f t="shared" si="50"/>
        <v>女</v>
      </c>
      <c r="D1175" s="6" t="str">
        <f>"202117030508"</f>
        <v>202117030508</v>
      </c>
      <c r="E1175" s="10" t="s">
        <v>20</v>
      </c>
      <c r="F1175" s="6" t="s">
        <v>11</v>
      </c>
      <c r="G1175" s="8">
        <v>66.25</v>
      </c>
      <c r="H1175" s="6"/>
    </row>
    <row r="1176" spans="1:8">
      <c r="A1176" s="5">
        <v>901</v>
      </c>
      <c r="B1176" s="6" t="str">
        <f>"孙慧"</f>
        <v>孙慧</v>
      </c>
      <c r="C1176" s="6" t="str">
        <f t="shared" si="50"/>
        <v>女</v>
      </c>
      <c r="D1176" s="6" t="str">
        <f>"202117030509"</f>
        <v>202117030509</v>
      </c>
      <c r="E1176" s="10" t="s">
        <v>20</v>
      </c>
      <c r="F1176" s="6" t="s">
        <v>11</v>
      </c>
      <c r="G1176" s="8">
        <v>83.35</v>
      </c>
      <c r="H1176" s="6"/>
    </row>
    <row r="1177" spans="1:8">
      <c r="A1177" s="5">
        <v>1230</v>
      </c>
      <c r="B1177" s="6" t="str">
        <f>"王慧婷"</f>
        <v>王慧婷</v>
      </c>
      <c r="C1177" s="6" t="str">
        <f t="shared" si="50"/>
        <v>女</v>
      </c>
      <c r="D1177" s="6" t="str">
        <f>"202117030510"</f>
        <v>202117030510</v>
      </c>
      <c r="E1177" s="10" t="s">
        <v>20</v>
      </c>
      <c r="F1177" s="6" t="s">
        <v>11</v>
      </c>
      <c r="G1177" s="8">
        <v>91.3</v>
      </c>
      <c r="H1177" s="6"/>
    </row>
    <row r="1178" spans="1:8">
      <c r="A1178" s="5">
        <v>1226</v>
      </c>
      <c r="B1178" s="6" t="str">
        <f>"陈格"</f>
        <v>陈格</v>
      </c>
      <c r="C1178" s="6" t="str">
        <f t="shared" si="50"/>
        <v>女</v>
      </c>
      <c r="D1178" s="6" t="str">
        <f>"202117030511"</f>
        <v>202117030511</v>
      </c>
      <c r="E1178" s="10" t="s">
        <v>20</v>
      </c>
      <c r="F1178" s="6" t="s">
        <v>11</v>
      </c>
      <c r="G1178" s="8">
        <v>85.8</v>
      </c>
      <c r="H1178" s="6"/>
    </row>
    <row r="1179" spans="1:8">
      <c r="A1179" s="5">
        <v>1127</v>
      </c>
      <c r="B1179" s="6" t="str">
        <f>"陈薪裕"</f>
        <v>陈薪裕</v>
      </c>
      <c r="C1179" s="6" t="str">
        <f t="shared" si="50"/>
        <v>女</v>
      </c>
      <c r="D1179" s="6" t="str">
        <f>"202117030512"</f>
        <v>202117030512</v>
      </c>
      <c r="E1179" s="10" t="s">
        <v>20</v>
      </c>
      <c r="F1179" s="6" t="s">
        <v>11</v>
      </c>
      <c r="G1179" s="8">
        <v>87.8</v>
      </c>
      <c r="H1179" s="6"/>
    </row>
    <row r="1180" spans="1:8">
      <c r="A1180" s="5">
        <v>1025</v>
      </c>
      <c r="B1180" s="6" t="str">
        <f>"高晋阳"</f>
        <v>高晋阳</v>
      </c>
      <c r="C1180" s="6" t="str">
        <f t="shared" si="50"/>
        <v>女</v>
      </c>
      <c r="D1180" s="6" t="str">
        <f>"202117030513"</f>
        <v>202117030513</v>
      </c>
      <c r="E1180" s="10" t="s">
        <v>20</v>
      </c>
      <c r="F1180" s="6" t="s">
        <v>11</v>
      </c>
      <c r="G1180" s="8">
        <v>76.400000000000006</v>
      </c>
      <c r="H1180" s="6"/>
    </row>
    <row r="1181" spans="1:8">
      <c r="A1181" s="5">
        <v>917</v>
      </c>
      <c r="B1181" s="6" t="str">
        <f>"朱艳玲"</f>
        <v>朱艳玲</v>
      </c>
      <c r="C1181" s="6" t="str">
        <f t="shared" si="50"/>
        <v>女</v>
      </c>
      <c r="D1181" s="6" t="str">
        <f>"202117030514"</f>
        <v>202117030514</v>
      </c>
      <c r="E1181" s="10" t="s">
        <v>20</v>
      </c>
      <c r="F1181" s="6" t="s">
        <v>11</v>
      </c>
      <c r="G1181" s="8">
        <v>85.4</v>
      </c>
      <c r="H1181" s="6"/>
    </row>
    <row r="1182" spans="1:8">
      <c r="A1182" s="5">
        <v>1126</v>
      </c>
      <c r="B1182" s="6" t="str">
        <f>"朱艳平"</f>
        <v>朱艳平</v>
      </c>
      <c r="C1182" s="6" t="str">
        <f t="shared" si="50"/>
        <v>女</v>
      </c>
      <c r="D1182" s="6" t="str">
        <f>"202117030515"</f>
        <v>202117030515</v>
      </c>
      <c r="E1182" s="10" t="s">
        <v>20</v>
      </c>
      <c r="F1182" s="6" t="s">
        <v>11</v>
      </c>
      <c r="G1182" s="8">
        <v>86.1</v>
      </c>
      <c r="H1182" s="6"/>
    </row>
    <row r="1183" spans="1:8">
      <c r="A1183" s="5">
        <v>1111</v>
      </c>
      <c r="B1183" s="6" t="str">
        <f>"彭芳芳"</f>
        <v>彭芳芳</v>
      </c>
      <c r="C1183" s="6" t="str">
        <f t="shared" si="50"/>
        <v>女</v>
      </c>
      <c r="D1183" s="6" t="str">
        <f>"202117030516"</f>
        <v>202117030516</v>
      </c>
      <c r="E1183" s="10" t="s">
        <v>20</v>
      </c>
      <c r="F1183" s="6" t="s">
        <v>11</v>
      </c>
      <c r="G1183" s="8">
        <v>61.25</v>
      </c>
      <c r="H1183" s="6"/>
    </row>
    <row r="1184" spans="1:8">
      <c r="A1184" s="5">
        <v>1110</v>
      </c>
      <c r="B1184" s="6" t="str">
        <f>"肖娟"</f>
        <v>肖娟</v>
      </c>
      <c r="C1184" s="6" t="str">
        <f t="shared" si="50"/>
        <v>女</v>
      </c>
      <c r="D1184" s="6" t="str">
        <f>"202117030517"</f>
        <v>202117030517</v>
      </c>
      <c r="E1184" s="10" t="s">
        <v>20</v>
      </c>
      <c r="F1184" s="6" t="s">
        <v>11</v>
      </c>
      <c r="G1184" s="8">
        <v>95.5</v>
      </c>
      <c r="H1184" s="6"/>
    </row>
    <row r="1185" spans="1:8">
      <c r="A1185" s="5">
        <v>899</v>
      </c>
      <c r="B1185" s="6" t="str">
        <f>"卢娟"</f>
        <v>卢娟</v>
      </c>
      <c r="C1185" s="6" t="str">
        <f t="shared" si="50"/>
        <v>女</v>
      </c>
      <c r="D1185" s="6" t="str">
        <f>"202117030518"</f>
        <v>202117030518</v>
      </c>
      <c r="E1185" s="10" t="s">
        <v>20</v>
      </c>
      <c r="F1185" s="6" t="s">
        <v>11</v>
      </c>
      <c r="G1185" s="8">
        <v>80.150000000000006</v>
      </c>
      <c r="H1185" s="6"/>
    </row>
    <row r="1186" spans="1:8">
      <c r="A1186" s="5">
        <v>961</v>
      </c>
      <c r="B1186" s="6" t="str">
        <f>"文香灵"</f>
        <v>文香灵</v>
      </c>
      <c r="C1186" s="6" t="str">
        <f>"男"</f>
        <v>男</v>
      </c>
      <c r="D1186" s="6" t="str">
        <f>"202117030519"</f>
        <v>202117030519</v>
      </c>
      <c r="E1186" s="10" t="s">
        <v>20</v>
      </c>
      <c r="F1186" s="6" t="s">
        <v>11</v>
      </c>
      <c r="G1186" s="8">
        <v>86.05</v>
      </c>
      <c r="H1186" s="6"/>
    </row>
    <row r="1187" spans="1:8">
      <c r="A1187" s="5">
        <v>902</v>
      </c>
      <c r="B1187" s="6" t="str">
        <f>"左三春"</f>
        <v>左三春</v>
      </c>
      <c r="C1187" s="6" t="str">
        <f>"女"</f>
        <v>女</v>
      </c>
      <c r="D1187" s="6" t="str">
        <f>"202117030520"</f>
        <v>202117030520</v>
      </c>
      <c r="E1187" s="10" t="s">
        <v>20</v>
      </c>
      <c r="F1187" s="6" t="s">
        <v>11</v>
      </c>
      <c r="G1187" s="8">
        <v>77.099999999999994</v>
      </c>
      <c r="H1187" s="6"/>
    </row>
    <row r="1188" spans="1:8">
      <c r="A1188" s="5">
        <v>1140</v>
      </c>
      <c r="B1188" s="6" t="str">
        <f>"刘小龙"</f>
        <v>刘小龙</v>
      </c>
      <c r="C1188" s="6" t="str">
        <f>"男"</f>
        <v>男</v>
      </c>
      <c r="D1188" s="6" t="str">
        <f>"202117030521"</f>
        <v>202117030521</v>
      </c>
      <c r="E1188" s="10" t="s">
        <v>20</v>
      </c>
      <c r="F1188" s="6" t="s">
        <v>11</v>
      </c>
      <c r="G1188" s="8">
        <v>73.3</v>
      </c>
      <c r="H1188" s="6"/>
    </row>
    <row r="1189" spans="1:8">
      <c r="A1189" s="5">
        <v>1049</v>
      </c>
      <c r="B1189" s="6" t="str">
        <f>"刘唐瑶"</f>
        <v>刘唐瑶</v>
      </c>
      <c r="C1189" s="6" t="str">
        <f t="shared" ref="C1189:C1194" si="51">"女"</f>
        <v>女</v>
      </c>
      <c r="D1189" s="6" t="str">
        <f>"202117030522"</f>
        <v>202117030522</v>
      </c>
      <c r="E1189" s="10" t="s">
        <v>20</v>
      </c>
      <c r="F1189" s="6" t="s">
        <v>11</v>
      </c>
      <c r="G1189" s="8">
        <v>41.7</v>
      </c>
      <c r="H1189" s="6"/>
    </row>
    <row r="1190" spans="1:8">
      <c r="A1190" s="5">
        <v>1187</v>
      </c>
      <c r="B1190" s="6" t="str">
        <f>"黄芷明"</f>
        <v>黄芷明</v>
      </c>
      <c r="C1190" s="6" t="str">
        <f t="shared" si="51"/>
        <v>女</v>
      </c>
      <c r="D1190" s="6" t="str">
        <f>"202117030523"</f>
        <v>202117030523</v>
      </c>
      <c r="E1190" s="10" t="s">
        <v>20</v>
      </c>
      <c r="F1190" s="6" t="s">
        <v>11</v>
      </c>
      <c r="G1190" s="8">
        <v>57.3</v>
      </c>
      <c r="H1190" s="6"/>
    </row>
    <row r="1191" spans="1:8">
      <c r="A1191" s="5">
        <v>1048</v>
      </c>
      <c r="B1191" s="6" t="str">
        <f>"李凡"</f>
        <v>李凡</v>
      </c>
      <c r="C1191" s="6" t="str">
        <f t="shared" si="51"/>
        <v>女</v>
      </c>
      <c r="D1191" s="6" t="str">
        <f>"202117030524"</f>
        <v>202117030524</v>
      </c>
      <c r="E1191" s="10" t="s">
        <v>20</v>
      </c>
      <c r="F1191" s="6" t="s">
        <v>11</v>
      </c>
      <c r="G1191" s="8">
        <v>74.099999999999994</v>
      </c>
      <c r="H1191" s="6"/>
    </row>
    <row r="1192" spans="1:8">
      <c r="A1192" s="5">
        <v>978</v>
      </c>
      <c r="B1192" s="6" t="str">
        <f>"钟倩玲"</f>
        <v>钟倩玲</v>
      </c>
      <c r="C1192" s="6" t="str">
        <f t="shared" si="51"/>
        <v>女</v>
      </c>
      <c r="D1192" s="6" t="str">
        <f>"202117030525"</f>
        <v>202117030525</v>
      </c>
      <c r="E1192" s="10" t="s">
        <v>20</v>
      </c>
      <c r="F1192" s="6" t="s">
        <v>11</v>
      </c>
      <c r="G1192" s="8">
        <v>86.05</v>
      </c>
      <c r="H1192" s="6"/>
    </row>
    <row r="1193" spans="1:8">
      <c r="A1193" s="5">
        <v>1011</v>
      </c>
      <c r="B1193" s="6" t="str">
        <f>"曾海玲"</f>
        <v>曾海玲</v>
      </c>
      <c r="C1193" s="6" t="str">
        <f t="shared" si="51"/>
        <v>女</v>
      </c>
      <c r="D1193" s="6" t="str">
        <f>"202117030526"</f>
        <v>202117030526</v>
      </c>
      <c r="E1193" s="10" t="s">
        <v>20</v>
      </c>
      <c r="F1193" s="6" t="s">
        <v>11</v>
      </c>
      <c r="G1193" s="8">
        <v>86.05</v>
      </c>
      <c r="H1193" s="6"/>
    </row>
    <row r="1194" spans="1:8">
      <c r="A1194" s="5">
        <v>1163</v>
      </c>
      <c r="B1194" s="6" t="str">
        <f>"何奖琪"</f>
        <v>何奖琪</v>
      </c>
      <c r="C1194" s="6" t="str">
        <f t="shared" si="51"/>
        <v>女</v>
      </c>
      <c r="D1194" s="6" t="str">
        <f>"202117030527"</f>
        <v>202117030527</v>
      </c>
      <c r="E1194" s="10" t="s">
        <v>20</v>
      </c>
      <c r="F1194" s="6" t="s">
        <v>11</v>
      </c>
      <c r="G1194" s="8">
        <v>93.75</v>
      </c>
      <c r="H1194" s="6"/>
    </row>
    <row r="1195" spans="1:8">
      <c r="A1195" s="5">
        <v>1214</v>
      </c>
      <c r="B1195" s="6" t="str">
        <f>"张祁元"</f>
        <v>张祁元</v>
      </c>
      <c r="C1195" s="6" t="str">
        <f>"男"</f>
        <v>男</v>
      </c>
      <c r="D1195" s="6" t="str">
        <f>"202117030528"</f>
        <v>202117030528</v>
      </c>
      <c r="E1195" s="10" t="s">
        <v>20</v>
      </c>
      <c r="F1195" s="6" t="s">
        <v>11</v>
      </c>
      <c r="G1195" s="8">
        <v>50.9</v>
      </c>
      <c r="H1195" s="6"/>
    </row>
    <row r="1196" spans="1:8">
      <c r="A1196" s="5">
        <v>851</v>
      </c>
      <c r="B1196" s="6" t="str">
        <f>"贺晗"</f>
        <v>贺晗</v>
      </c>
      <c r="C1196" s="6" t="str">
        <f>"男"</f>
        <v>男</v>
      </c>
      <c r="D1196" s="6" t="str">
        <f>"202117030529"</f>
        <v>202117030529</v>
      </c>
      <c r="E1196" s="10" t="s">
        <v>20</v>
      </c>
      <c r="F1196" s="6" t="s">
        <v>11</v>
      </c>
      <c r="G1196" s="8">
        <v>81.599999999999994</v>
      </c>
      <c r="H1196" s="6"/>
    </row>
    <row r="1197" spans="1:8">
      <c r="A1197" s="5">
        <v>1167</v>
      </c>
      <c r="B1197" s="6" t="str">
        <f>"胡洁"</f>
        <v>胡洁</v>
      </c>
      <c r="C1197" s="6" t="str">
        <f t="shared" ref="C1197:C1208" si="52">"女"</f>
        <v>女</v>
      </c>
      <c r="D1197" s="6" t="str">
        <f>"202117030530"</f>
        <v>202117030530</v>
      </c>
      <c r="E1197" s="10" t="s">
        <v>20</v>
      </c>
      <c r="F1197" s="6" t="s">
        <v>11</v>
      </c>
      <c r="G1197" s="8">
        <v>92.55</v>
      </c>
      <c r="H1197" s="6"/>
    </row>
    <row r="1198" spans="1:8">
      <c r="A1198" s="5">
        <v>1054</v>
      </c>
      <c r="B1198" s="6" t="str">
        <f>"唐吕攀"</f>
        <v>唐吕攀</v>
      </c>
      <c r="C1198" s="6" t="str">
        <f t="shared" si="52"/>
        <v>女</v>
      </c>
      <c r="D1198" s="6" t="str">
        <f>"202117030601"</f>
        <v>202117030601</v>
      </c>
      <c r="E1198" s="10" t="s">
        <v>20</v>
      </c>
      <c r="F1198" s="6" t="s">
        <v>11</v>
      </c>
      <c r="G1198" s="8">
        <v>91.25</v>
      </c>
      <c r="H1198" s="6"/>
    </row>
    <row r="1199" spans="1:8">
      <c r="A1199" s="5">
        <v>995</v>
      </c>
      <c r="B1199" s="6" t="str">
        <f>"罗翠"</f>
        <v>罗翠</v>
      </c>
      <c r="C1199" s="6" t="str">
        <f t="shared" si="52"/>
        <v>女</v>
      </c>
      <c r="D1199" s="6" t="str">
        <f>"202117030602"</f>
        <v>202117030602</v>
      </c>
      <c r="E1199" s="10" t="s">
        <v>20</v>
      </c>
      <c r="F1199" s="6" t="s">
        <v>11</v>
      </c>
      <c r="G1199" s="8">
        <v>92.55</v>
      </c>
      <c r="H1199" s="6"/>
    </row>
    <row r="1200" spans="1:8">
      <c r="A1200" s="5">
        <v>951</v>
      </c>
      <c r="B1200" s="6" t="str">
        <f>"周念"</f>
        <v>周念</v>
      </c>
      <c r="C1200" s="6" t="str">
        <f t="shared" si="52"/>
        <v>女</v>
      </c>
      <c r="D1200" s="6" t="str">
        <f>"202117030603"</f>
        <v>202117030603</v>
      </c>
      <c r="E1200" s="10" t="s">
        <v>20</v>
      </c>
      <c r="F1200" s="6" t="s">
        <v>11</v>
      </c>
      <c r="G1200" s="8">
        <v>81.150000000000006</v>
      </c>
      <c r="H1200" s="6"/>
    </row>
    <row r="1201" spans="1:8">
      <c r="A1201" s="5">
        <v>1164</v>
      </c>
      <c r="B1201" s="6" t="str">
        <f>"阳海燕"</f>
        <v>阳海燕</v>
      </c>
      <c r="C1201" s="6" t="str">
        <f t="shared" si="52"/>
        <v>女</v>
      </c>
      <c r="D1201" s="6" t="str">
        <f>"202117030604"</f>
        <v>202117030604</v>
      </c>
      <c r="E1201" s="10" t="s">
        <v>20</v>
      </c>
      <c r="F1201" s="6" t="s">
        <v>11</v>
      </c>
      <c r="G1201" s="8">
        <v>87.8</v>
      </c>
      <c r="H1201" s="6"/>
    </row>
    <row r="1202" spans="1:8">
      <c r="A1202" s="5">
        <v>1043</v>
      </c>
      <c r="B1202" s="6" t="str">
        <f>"苏瑛"</f>
        <v>苏瑛</v>
      </c>
      <c r="C1202" s="6" t="str">
        <f t="shared" si="52"/>
        <v>女</v>
      </c>
      <c r="D1202" s="6" t="str">
        <f>"202117030605"</f>
        <v>202117030605</v>
      </c>
      <c r="E1202" s="10" t="s">
        <v>20</v>
      </c>
      <c r="F1202" s="6" t="s">
        <v>11</v>
      </c>
      <c r="G1202" s="8">
        <v>88.3</v>
      </c>
      <c r="H1202" s="6"/>
    </row>
    <row r="1203" spans="1:8">
      <c r="A1203" s="5">
        <v>920</v>
      </c>
      <c r="B1203" s="6" t="str">
        <f>"刘靖"</f>
        <v>刘靖</v>
      </c>
      <c r="C1203" s="6" t="str">
        <f t="shared" si="52"/>
        <v>女</v>
      </c>
      <c r="D1203" s="6" t="str">
        <f>"202117030606"</f>
        <v>202117030606</v>
      </c>
      <c r="E1203" s="10" t="s">
        <v>20</v>
      </c>
      <c r="F1203" s="6" t="s">
        <v>11</v>
      </c>
      <c r="G1203" s="8">
        <v>88.4</v>
      </c>
      <c r="H1203" s="6"/>
    </row>
    <row r="1204" spans="1:8">
      <c r="A1204" s="5">
        <v>1150</v>
      </c>
      <c r="B1204" s="6" t="str">
        <f>"史满玉"</f>
        <v>史满玉</v>
      </c>
      <c r="C1204" s="6" t="str">
        <f t="shared" si="52"/>
        <v>女</v>
      </c>
      <c r="D1204" s="6" t="str">
        <f>"202117030607"</f>
        <v>202117030607</v>
      </c>
      <c r="E1204" s="10" t="s">
        <v>20</v>
      </c>
      <c r="F1204" s="6" t="s">
        <v>11</v>
      </c>
      <c r="G1204" s="8">
        <v>86.35</v>
      </c>
      <c r="H1204" s="6"/>
    </row>
    <row r="1205" spans="1:8">
      <c r="A1205" s="5">
        <v>1212</v>
      </c>
      <c r="B1205" s="6" t="str">
        <f>"黄艳"</f>
        <v>黄艳</v>
      </c>
      <c r="C1205" s="6" t="str">
        <f t="shared" si="52"/>
        <v>女</v>
      </c>
      <c r="D1205" s="6" t="str">
        <f>"202117030608"</f>
        <v>202117030608</v>
      </c>
      <c r="E1205" s="10" t="s">
        <v>20</v>
      </c>
      <c r="F1205" s="6" t="s">
        <v>11</v>
      </c>
      <c r="G1205" s="8">
        <v>86.55</v>
      </c>
      <c r="H1205" s="6"/>
    </row>
    <row r="1206" spans="1:8">
      <c r="A1206" s="5">
        <v>905</v>
      </c>
      <c r="B1206" s="6" t="str">
        <f>"马含春"</f>
        <v>马含春</v>
      </c>
      <c r="C1206" s="6" t="str">
        <f t="shared" si="52"/>
        <v>女</v>
      </c>
      <c r="D1206" s="6" t="str">
        <f>"202117030609"</f>
        <v>202117030609</v>
      </c>
      <c r="E1206" s="10" t="s">
        <v>20</v>
      </c>
      <c r="F1206" s="6" t="s">
        <v>11</v>
      </c>
      <c r="G1206" s="8">
        <v>94.5</v>
      </c>
      <c r="H1206" s="6"/>
    </row>
    <row r="1207" spans="1:8">
      <c r="A1207" s="5">
        <v>1137</v>
      </c>
      <c r="B1207" s="6" t="str">
        <f>"谢佳"</f>
        <v>谢佳</v>
      </c>
      <c r="C1207" s="6" t="str">
        <f t="shared" si="52"/>
        <v>女</v>
      </c>
      <c r="D1207" s="6" t="str">
        <f>"202117030610"</f>
        <v>202117030610</v>
      </c>
      <c r="E1207" s="10" t="s">
        <v>20</v>
      </c>
      <c r="F1207" s="6" t="s">
        <v>11</v>
      </c>
      <c r="G1207" s="8">
        <v>47.25</v>
      </c>
      <c r="H1207" s="6"/>
    </row>
    <row r="1208" spans="1:8">
      <c r="A1208" s="5">
        <v>1156</v>
      </c>
      <c r="B1208" s="6" t="str">
        <f>"张赛群"</f>
        <v>张赛群</v>
      </c>
      <c r="C1208" s="6" t="str">
        <f t="shared" si="52"/>
        <v>女</v>
      </c>
      <c r="D1208" s="6" t="str">
        <f>"202117030611"</f>
        <v>202117030611</v>
      </c>
      <c r="E1208" s="10" t="s">
        <v>20</v>
      </c>
      <c r="F1208" s="6" t="s">
        <v>11</v>
      </c>
      <c r="G1208" s="8">
        <v>86.8</v>
      </c>
      <c r="H1208" s="6"/>
    </row>
    <row r="1209" spans="1:8">
      <c r="A1209" s="5">
        <v>853</v>
      </c>
      <c r="B1209" s="6" t="str">
        <f>"侯华胜"</f>
        <v>侯华胜</v>
      </c>
      <c r="C1209" s="6" t="str">
        <f>"男"</f>
        <v>男</v>
      </c>
      <c r="D1209" s="6" t="str">
        <f>"202117030612"</f>
        <v>202117030612</v>
      </c>
      <c r="E1209" s="10" t="s">
        <v>20</v>
      </c>
      <c r="F1209" s="6" t="s">
        <v>11</v>
      </c>
      <c r="G1209" s="8">
        <v>75.7</v>
      </c>
      <c r="H1209" s="6"/>
    </row>
    <row r="1210" spans="1:8">
      <c r="A1210" s="5">
        <v>939</v>
      </c>
      <c r="B1210" s="6" t="str">
        <f>"肖婉丽"</f>
        <v>肖婉丽</v>
      </c>
      <c r="C1210" s="6" t="str">
        <f>"女"</f>
        <v>女</v>
      </c>
      <c r="D1210" s="6" t="str">
        <f>"202117030613"</f>
        <v>202117030613</v>
      </c>
      <c r="E1210" s="10" t="s">
        <v>20</v>
      </c>
      <c r="F1210" s="6" t="s">
        <v>11</v>
      </c>
      <c r="G1210" s="8">
        <v>93.5</v>
      </c>
      <c r="H1210" s="6"/>
    </row>
    <row r="1211" spans="1:8">
      <c r="A1211" s="5">
        <v>896</v>
      </c>
      <c r="B1211" s="6" t="str">
        <f>"龙敏"</f>
        <v>龙敏</v>
      </c>
      <c r="C1211" s="6" t="str">
        <f>"女"</f>
        <v>女</v>
      </c>
      <c r="D1211" s="6" t="str">
        <f>"202117030614"</f>
        <v>202117030614</v>
      </c>
      <c r="E1211" s="10" t="s">
        <v>20</v>
      </c>
      <c r="F1211" s="6" t="s">
        <v>11</v>
      </c>
      <c r="G1211" s="8">
        <v>90.5</v>
      </c>
      <c r="H1211" s="6"/>
    </row>
    <row r="1212" spans="1:8">
      <c r="A1212" s="5">
        <v>1092</v>
      </c>
      <c r="B1212" s="6" t="str">
        <f>"李艺涵"</f>
        <v>李艺涵</v>
      </c>
      <c r="C1212" s="6" t="str">
        <f>"女"</f>
        <v>女</v>
      </c>
      <c r="D1212" s="6" t="str">
        <f>"202117030615"</f>
        <v>202117030615</v>
      </c>
      <c r="E1212" s="10" t="s">
        <v>20</v>
      </c>
      <c r="F1212" s="6" t="s">
        <v>11</v>
      </c>
      <c r="G1212" s="8">
        <v>50.35</v>
      </c>
      <c r="H1212" s="6"/>
    </row>
    <row r="1213" spans="1:8">
      <c r="A1213" s="5">
        <v>904</v>
      </c>
      <c r="B1213" s="6" t="str">
        <f>"张灵芝"</f>
        <v>张灵芝</v>
      </c>
      <c r="C1213" s="6" t="str">
        <f>"女"</f>
        <v>女</v>
      </c>
      <c r="D1213" s="6" t="str">
        <f>"202117030616"</f>
        <v>202117030616</v>
      </c>
      <c r="E1213" s="10" t="s">
        <v>20</v>
      </c>
      <c r="F1213" s="6" t="s">
        <v>11</v>
      </c>
      <c r="G1213" s="8">
        <v>88.3</v>
      </c>
      <c r="H1213" s="6"/>
    </row>
    <row r="1214" spans="1:8">
      <c r="A1214" s="5">
        <v>981</v>
      </c>
      <c r="B1214" s="6" t="str">
        <f>"陈昭军"</f>
        <v>陈昭军</v>
      </c>
      <c r="C1214" s="6" t="str">
        <f>"男"</f>
        <v>男</v>
      </c>
      <c r="D1214" s="6" t="str">
        <f>"202117030617"</f>
        <v>202117030617</v>
      </c>
      <c r="E1214" s="10" t="s">
        <v>20</v>
      </c>
      <c r="F1214" s="6" t="s">
        <v>11</v>
      </c>
      <c r="G1214" s="8">
        <v>82.1</v>
      </c>
      <c r="H1214" s="6"/>
    </row>
    <row r="1215" spans="1:8">
      <c r="A1215" s="5">
        <v>950</v>
      </c>
      <c r="B1215" s="6" t="str">
        <f>"刘冰倩"</f>
        <v>刘冰倩</v>
      </c>
      <c r="C1215" s="6" t="str">
        <f>"女"</f>
        <v>女</v>
      </c>
      <c r="D1215" s="6" t="str">
        <f>"202117030618"</f>
        <v>202117030618</v>
      </c>
      <c r="E1215" s="10" t="s">
        <v>20</v>
      </c>
      <c r="F1215" s="6" t="s">
        <v>11</v>
      </c>
      <c r="G1215" s="8">
        <v>0</v>
      </c>
      <c r="H1215" s="9">
        <v>1</v>
      </c>
    </row>
    <row r="1216" spans="1:8">
      <c r="A1216" s="5">
        <v>929</v>
      </c>
      <c r="B1216" s="6" t="str">
        <f>"段小斌"</f>
        <v>段小斌</v>
      </c>
      <c r="C1216" s="6" t="str">
        <f>"男"</f>
        <v>男</v>
      </c>
      <c r="D1216" s="6" t="str">
        <f>"202117030619"</f>
        <v>202117030619</v>
      </c>
      <c r="E1216" s="10" t="s">
        <v>20</v>
      </c>
      <c r="F1216" s="6" t="s">
        <v>11</v>
      </c>
      <c r="G1216" s="8">
        <v>69</v>
      </c>
      <c r="H1216" s="6"/>
    </row>
    <row r="1217" spans="1:8">
      <c r="A1217" s="5">
        <v>1064</v>
      </c>
      <c r="B1217" s="6" t="str">
        <f>"莫倩"</f>
        <v>莫倩</v>
      </c>
      <c r="C1217" s="6" t="str">
        <f t="shared" ref="C1217:C1225" si="53">"女"</f>
        <v>女</v>
      </c>
      <c r="D1217" s="6" t="str">
        <f>"202117030620"</f>
        <v>202117030620</v>
      </c>
      <c r="E1217" s="10" t="s">
        <v>20</v>
      </c>
      <c r="F1217" s="6" t="s">
        <v>11</v>
      </c>
      <c r="G1217" s="8">
        <v>84</v>
      </c>
      <c r="H1217" s="6"/>
    </row>
    <row r="1218" spans="1:8">
      <c r="A1218" s="5">
        <v>884</v>
      </c>
      <c r="B1218" s="6" t="str">
        <f>"李碧玲"</f>
        <v>李碧玲</v>
      </c>
      <c r="C1218" s="6" t="str">
        <f t="shared" si="53"/>
        <v>女</v>
      </c>
      <c r="D1218" s="6" t="str">
        <f>"202117030621"</f>
        <v>202117030621</v>
      </c>
      <c r="E1218" s="10" t="s">
        <v>20</v>
      </c>
      <c r="F1218" s="6" t="s">
        <v>11</v>
      </c>
      <c r="G1218" s="8">
        <v>53.2</v>
      </c>
      <c r="H1218" s="6"/>
    </row>
    <row r="1219" spans="1:8">
      <c r="A1219" s="5">
        <v>1085</v>
      </c>
      <c r="B1219" s="6" t="str">
        <f>"漆巧莲"</f>
        <v>漆巧莲</v>
      </c>
      <c r="C1219" s="6" t="str">
        <f t="shared" si="53"/>
        <v>女</v>
      </c>
      <c r="D1219" s="6" t="str">
        <f>"202117030622"</f>
        <v>202117030622</v>
      </c>
      <c r="E1219" s="10" t="s">
        <v>20</v>
      </c>
      <c r="F1219" s="6" t="s">
        <v>11</v>
      </c>
      <c r="G1219" s="8">
        <v>88.3</v>
      </c>
      <c r="H1219" s="6"/>
    </row>
    <row r="1220" spans="1:8">
      <c r="A1220" s="5">
        <v>1042</v>
      </c>
      <c r="B1220" s="6" t="str">
        <f>"方喜"</f>
        <v>方喜</v>
      </c>
      <c r="C1220" s="6" t="str">
        <f t="shared" si="53"/>
        <v>女</v>
      </c>
      <c r="D1220" s="6" t="str">
        <f>"202117030623"</f>
        <v>202117030623</v>
      </c>
      <c r="E1220" s="10" t="s">
        <v>20</v>
      </c>
      <c r="F1220" s="6" t="s">
        <v>11</v>
      </c>
      <c r="G1220" s="8">
        <v>0</v>
      </c>
      <c r="H1220" s="9">
        <v>1</v>
      </c>
    </row>
    <row r="1221" spans="1:8">
      <c r="A1221" s="5">
        <v>906</v>
      </c>
      <c r="B1221" s="6" t="str">
        <f>"赵敏"</f>
        <v>赵敏</v>
      </c>
      <c r="C1221" s="6" t="str">
        <f t="shared" si="53"/>
        <v>女</v>
      </c>
      <c r="D1221" s="6" t="str">
        <f>"202117030624"</f>
        <v>202117030624</v>
      </c>
      <c r="E1221" s="10" t="s">
        <v>20</v>
      </c>
      <c r="F1221" s="6" t="s">
        <v>11</v>
      </c>
      <c r="G1221" s="8">
        <v>88.3</v>
      </c>
      <c r="H1221" s="6"/>
    </row>
    <row r="1222" spans="1:8">
      <c r="A1222" s="5">
        <v>941</v>
      </c>
      <c r="B1222" s="6" t="str">
        <f>"林沅"</f>
        <v>林沅</v>
      </c>
      <c r="C1222" s="6" t="str">
        <f t="shared" si="53"/>
        <v>女</v>
      </c>
      <c r="D1222" s="6" t="str">
        <f>"202117030625"</f>
        <v>202117030625</v>
      </c>
      <c r="E1222" s="10" t="s">
        <v>20</v>
      </c>
      <c r="F1222" s="6" t="s">
        <v>11</v>
      </c>
      <c r="G1222" s="8">
        <v>91</v>
      </c>
      <c r="H1222" s="6"/>
    </row>
    <row r="1223" spans="1:8">
      <c r="A1223" s="5">
        <v>996</v>
      </c>
      <c r="B1223" s="6" t="str">
        <f>"肖玲"</f>
        <v>肖玲</v>
      </c>
      <c r="C1223" s="6" t="str">
        <f t="shared" si="53"/>
        <v>女</v>
      </c>
      <c r="D1223" s="6" t="str">
        <f>"202117030626"</f>
        <v>202117030626</v>
      </c>
      <c r="E1223" s="10" t="s">
        <v>20</v>
      </c>
      <c r="F1223" s="6" t="s">
        <v>11</v>
      </c>
      <c r="G1223" s="8">
        <v>59.7</v>
      </c>
      <c r="H1223" s="6"/>
    </row>
    <row r="1224" spans="1:8">
      <c r="A1224" s="5">
        <v>861</v>
      </c>
      <c r="B1224" s="6" t="str">
        <f>"谢升琳"</f>
        <v>谢升琳</v>
      </c>
      <c r="C1224" s="6" t="str">
        <f t="shared" si="53"/>
        <v>女</v>
      </c>
      <c r="D1224" s="6" t="str">
        <f>"202117030627"</f>
        <v>202117030627</v>
      </c>
      <c r="E1224" s="10" t="s">
        <v>20</v>
      </c>
      <c r="F1224" s="6" t="s">
        <v>11</v>
      </c>
      <c r="G1224" s="8">
        <v>0</v>
      </c>
      <c r="H1224" s="9">
        <v>1</v>
      </c>
    </row>
    <row r="1225" spans="1:8">
      <c r="A1225" s="5">
        <v>1194</v>
      </c>
      <c r="B1225" s="6" t="str">
        <f>"吴漫萍"</f>
        <v>吴漫萍</v>
      </c>
      <c r="C1225" s="6" t="str">
        <f t="shared" si="53"/>
        <v>女</v>
      </c>
      <c r="D1225" s="6" t="str">
        <f>"202117030628"</f>
        <v>202117030628</v>
      </c>
      <c r="E1225" s="10" t="s">
        <v>20</v>
      </c>
      <c r="F1225" s="6" t="s">
        <v>11</v>
      </c>
      <c r="G1225" s="8">
        <v>94.3</v>
      </c>
      <c r="H1225" s="6"/>
    </row>
    <row r="1226" spans="1:8">
      <c r="A1226" s="5">
        <v>997</v>
      </c>
      <c r="B1226" s="6" t="str">
        <f>"朱浩"</f>
        <v>朱浩</v>
      </c>
      <c r="C1226" s="6" t="str">
        <f>"男"</f>
        <v>男</v>
      </c>
      <c r="D1226" s="6" t="str">
        <f>"202117030629"</f>
        <v>202117030629</v>
      </c>
      <c r="E1226" s="10" t="s">
        <v>20</v>
      </c>
      <c r="F1226" s="6" t="s">
        <v>11</v>
      </c>
      <c r="G1226" s="8">
        <v>64.5</v>
      </c>
      <c r="H1226" s="6"/>
    </row>
    <row r="1227" spans="1:8">
      <c r="A1227" s="5">
        <v>969</v>
      </c>
      <c r="B1227" s="6" t="str">
        <f>"周平华"</f>
        <v>周平华</v>
      </c>
      <c r="C1227" s="6" t="str">
        <f>"女"</f>
        <v>女</v>
      </c>
      <c r="D1227" s="6" t="str">
        <f>"202117030630"</f>
        <v>202117030630</v>
      </c>
      <c r="E1227" s="10" t="s">
        <v>20</v>
      </c>
      <c r="F1227" s="6" t="s">
        <v>11</v>
      </c>
      <c r="G1227" s="8">
        <v>79.8</v>
      </c>
      <c r="H1227" s="6"/>
    </row>
    <row r="1228" spans="1:8">
      <c r="A1228" s="5">
        <v>975</v>
      </c>
      <c r="B1228" s="6" t="str">
        <f>"王丽娟"</f>
        <v>王丽娟</v>
      </c>
      <c r="C1228" s="6" t="str">
        <f>"女"</f>
        <v>女</v>
      </c>
      <c r="D1228" s="6" t="str">
        <f>"202117030701"</f>
        <v>202117030701</v>
      </c>
      <c r="E1228" s="10" t="s">
        <v>20</v>
      </c>
      <c r="F1228" s="6" t="s">
        <v>11</v>
      </c>
      <c r="G1228" s="8">
        <v>77.75</v>
      </c>
      <c r="H1228" s="6"/>
    </row>
    <row r="1229" spans="1:8">
      <c r="A1229" s="5">
        <v>949</v>
      </c>
      <c r="B1229" s="6" t="str">
        <f>"卿有路"</f>
        <v>卿有路</v>
      </c>
      <c r="C1229" s="6" t="str">
        <f>"女"</f>
        <v>女</v>
      </c>
      <c r="D1229" s="6" t="str">
        <f>"202117030702"</f>
        <v>202117030702</v>
      </c>
      <c r="E1229" s="10" t="s">
        <v>20</v>
      </c>
      <c r="F1229" s="6" t="s">
        <v>11</v>
      </c>
      <c r="G1229" s="8">
        <v>87.85</v>
      </c>
      <c r="H1229" s="6"/>
    </row>
    <row r="1230" spans="1:8">
      <c r="A1230" s="5">
        <v>854</v>
      </c>
      <c r="B1230" s="6" t="str">
        <f>"李沐麟"</f>
        <v>李沐麟</v>
      </c>
      <c r="C1230" s="6" t="str">
        <f>"男"</f>
        <v>男</v>
      </c>
      <c r="D1230" s="6" t="str">
        <f>"202117030703"</f>
        <v>202117030703</v>
      </c>
      <c r="E1230" s="10" t="s">
        <v>20</v>
      </c>
      <c r="F1230" s="6" t="s">
        <v>11</v>
      </c>
      <c r="G1230" s="8">
        <v>0</v>
      </c>
      <c r="H1230" s="9">
        <v>1</v>
      </c>
    </row>
    <row r="1231" spans="1:8">
      <c r="A1231" s="5">
        <v>953</v>
      </c>
      <c r="B1231" s="6" t="str">
        <f>"肖依敏"</f>
        <v>肖依敏</v>
      </c>
      <c r="C1231" s="6" t="str">
        <f t="shared" ref="C1231:C1241" si="54">"女"</f>
        <v>女</v>
      </c>
      <c r="D1231" s="6" t="str">
        <f>"202117030704"</f>
        <v>202117030704</v>
      </c>
      <c r="E1231" s="10" t="s">
        <v>20</v>
      </c>
      <c r="F1231" s="6" t="s">
        <v>11</v>
      </c>
      <c r="G1231" s="8">
        <v>84.75</v>
      </c>
      <c r="H1231" s="6"/>
    </row>
    <row r="1232" spans="1:8">
      <c r="A1232" s="5">
        <v>1057</v>
      </c>
      <c r="B1232" s="6" t="str">
        <f>"李园"</f>
        <v>李园</v>
      </c>
      <c r="C1232" s="6" t="str">
        <f t="shared" si="54"/>
        <v>女</v>
      </c>
      <c r="D1232" s="6" t="str">
        <f>"202117030705"</f>
        <v>202117030705</v>
      </c>
      <c r="E1232" s="10" t="s">
        <v>20</v>
      </c>
      <c r="F1232" s="6" t="s">
        <v>11</v>
      </c>
      <c r="G1232" s="8">
        <v>76.400000000000006</v>
      </c>
      <c r="H1232" s="6"/>
    </row>
    <row r="1233" spans="1:8">
      <c r="A1233" s="5">
        <v>1018</v>
      </c>
      <c r="B1233" s="6" t="str">
        <f>"邓俊"</f>
        <v>邓俊</v>
      </c>
      <c r="C1233" s="6" t="str">
        <f t="shared" si="54"/>
        <v>女</v>
      </c>
      <c r="D1233" s="6" t="str">
        <f>"202117030706"</f>
        <v>202117030706</v>
      </c>
      <c r="E1233" s="10" t="s">
        <v>20</v>
      </c>
      <c r="F1233" s="6" t="s">
        <v>11</v>
      </c>
      <c r="G1233" s="8">
        <v>83.4</v>
      </c>
      <c r="H1233" s="6"/>
    </row>
    <row r="1234" spans="1:8">
      <c r="A1234" s="5">
        <v>919</v>
      </c>
      <c r="B1234" s="6" t="str">
        <f>"张晶"</f>
        <v>张晶</v>
      </c>
      <c r="C1234" s="6" t="str">
        <f t="shared" si="54"/>
        <v>女</v>
      </c>
      <c r="D1234" s="6" t="str">
        <f>"202117030707"</f>
        <v>202117030707</v>
      </c>
      <c r="E1234" s="10" t="s">
        <v>20</v>
      </c>
      <c r="F1234" s="6" t="s">
        <v>11</v>
      </c>
      <c r="G1234" s="8">
        <v>62.6</v>
      </c>
      <c r="H1234" s="6"/>
    </row>
    <row r="1235" spans="1:8">
      <c r="A1235" s="5">
        <v>1176</v>
      </c>
      <c r="B1235" s="6" t="str">
        <f>"陈思思"</f>
        <v>陈思思</v>
      </c>
      <c r="C1235" s="6" t="str">
        <f t="shared" si="54"/>
        <v>女</v>
      </c>
      <c r="D1235" s="6" t="str">
        <f>"202117030708"</f>
        <v>202117030708</v>
      </c>
      <c r="E1235" s="10" t="s">
        <v>20</v>
      </c>
      <c r="F1235" s="6" t="s">
        <v>11</v>
      </c>
      <c r="G1235" s="8">
        <v>78.349999999999994</v>
      </c>
      <c r="H1235" s="6"/>
    </row>
    <row r="1236" spans="1:8">
      <c r="A1236" s="5">
        <v>893</v>
      </c>
      <c r="B1236" s="6" t="str">
        <f>"赵志娟"</f>
        <v>赵志娟</v>
      </c>
      <c r="C1236" s="6" t="str">
        <f t="shared" si="54"/>
        <v>女</v>
      </c>
      <c r="D1236" s="6" t="str">
        <f>"202117030709"</f>
        <v>202117030709</v>
      </c>
      <c r="E1236" s="10" t="s">
        <v>20</v>
      </c>
      <c r="F1236" s="6" t="s">
        <v>11</v>
      </c>
      <c r="G1236" s="8">
        <v>88.75</v>
      </c>
      <c r="H1236" s="6"/>
    </row>
    <row r="1237" spans="1:8">
      <c r="A1237" s="5">
        <v>936</v>
      </c>
      <c r="B1237" s="6" t="str">
        <f>"尹湘"</f>
        <v>尹湘</v>
      </c>
      <c r="C1237" s="6" t="str">
        <f t="shared" si="54"/>
        <v>女</v>
      </c>
      <c r="D1237" s="6" t="str">
        <f>"202117030710"</f>
        <v>202117030710</v>
      </c>
      <c r="E1237" s="10" t="s">
        <v>20</v>
      </c>
      <c r="F1237" s="6" t="s">
        <v>11</v>
      </c>
      <c r="G1237" s="8">
        <v>64</v>
      </c>
      <c r="H1237" s="6"/>
    </row>
    <row r="1238" spans="1:8">
      <c r="A1238" s="5">
        <v>980</v>
      </c>
      <c r="B1238" s="6" t="str">
        <f>"刘雯"</f>
        <v>刘雯</v>
      </c>
      <c r="C1238" s="6" t="str">
        <f t="shared" si="54"/>
        <v>女</v>
      </c>
      <c r="D1238" s="6" t="str">
        <f>"202117030711"</f>
        <v>202117030711</v>
      </c>
      <c r="E1238" s="10" t="s">
        <v>20</v>
      </c>
      <c r="F1238" s="6" t="s">
        <v>11</v>
      </c>
      <c r="G1238" s="8">
        <v>84.3</v>
      </c>
      <c r="H1238" s="6"/>
    </row>
    <row r="1239" spans="1:8">
      <c r="A1239" s="5">
        <v>931</v>
      </c>
      <c r="B1239" s="6" t="str">
        <f>"陈珮君"</f>
        <v>陈珮君</v>
      </c>
      <c r="C1239" s="6" t="str">
        <f t="shared" si="54"/>
        <v>女</v>
      </c>
      <c r="D1239" s="6" t="str">
        <f>"202117030712"</f>
        <v>202117030712</v>
      </c>
      <c r="E1239" s="10" t="s">
        <v>20</v>
      </c>
      <c r="F1239" s="6" t="s">
        <v>11</v>
      </c>
      <c r="G1239" s="8">
        <v>57.8</v>
      </c>
      <c r="H1239" s="6"/>
    </row>
    <row r="1240" spans="1:8">
      <c r="A1240" s="5">
        <v>979</v>
      </c>
      <c r="B1240" s="6" t="str">
        <f>"罗德花"</f>
        <v>罗德花</v>
      </c>
      <c r="C1240" s="6" t="str">
        <f t="shared" si="54"/>
        <v>女</v>
      </c>
      <c r="D1240" s="6" t="str">
        <f>"202117030713"</f>
        <v>202117030713</v>
      </c>
      <c r="E1240" s="10" t="s">
        <v>20</v>
      </c>
      <c r="F1240" s="6" t="s">
        <v>11</v>
      </c>
      <c r="G1240" s="8">
        <v>91.05</v>
      </c>
      <c r="H1240" s="6"/>
    </row>
    <row r="1241" spans="1:8">
      <c r="A1241" s="5">
        <v>984</v>
      </c>
      <c r="B1241" s="6" t="str">
        <f>"陈依慧"</f>
        <v>陈依慧</v>
      </c>
      <c r="C1241" s="6" t="str">
        <f t="shared" si="54"/>
        <v>女</v>
      </c>
      <c r="D1241" s="6" t="str">
        <f>"202117030714"</f>
        <v>202117030714</v>
      </c>
      <c r="E1241" s="10" t="s">
        <v>20</v>
      </c>
      <c r="F1241" s="6" t="s">
        <v>11</v>
      </c>
      <c r="G1241" s="8">
        <v>93.75</v>
      </c>
      <c r="H1241" s="6"/>
    </row>
    <row r="1242" spans="1:8">
      <c r="A1242" s="5">
        <v>914</v>
      </c>
      <c r="B1242" s="6" t="str">
        <f>"杨聪"</f>
        <v>杨聪</v>
      </c>
      <c r="C1242" s="6" t="str">
        <f>"男"</f>
        <v>男</v>
      </c>
      <c r="D1242" s="6" t="str">
        <f>"202117030715"</f>
        <v>202117030715</v>
      </c>
      <c r="E1242" s="10" t="s">
        <v>20</v>
      </c>
      <c r="F1242" s="6" t="s">
        <v>11</v>
      </c>
      <c r="G1242" s="8">
        <v>77.900000000000006</v>
      </c>
      <c r="H1242" s="6"/>
    </row>
    <row r="1243" spans="1:8">
      <c r="A1243" s="5">
        <v>973</v>
      </c>
      <c r="B1243" s="6" t="str">
        <f>"李颖"</f>
        <v>李颖</v>
      </c>
      <c r="C1243" s="6" t="str">
        <f t="shared" ref="C1243:C1252" si="55">"女"</f>
        <v>女</v>
      </c>
      <c r="D1243" s="6" t="str">
        <f>"202117030716"</f>
        <v>202117030716</v>
      </c>
      <c r="E1243" s="10" t="s">
        <v>20</v>
      </c>
      <c r="F1243" s="6" t="s">
        <v>11</v>
      </c>
      <c r="G1243" s="8">
        <v>55.85</v>
      </c>
      <c r="H1243" s="6"/>
    </row>
    <row r="1244" spans="1:8">
      <c r="A1244" s="5">
        <v>1165</v>
      </c>
      <c r="B1244" s="6" t="str">
        <f>"赵倩"</f>
        <v>赵倩</v>
      </c>
      <c r="C1244" s="6" t="str">
        <f t="shared" si="55"/>
        <v>女</v>
      </c>
      <c r="D1244" s="6" t="str">
        <f>"202117030717"</f>
        <v>202117030717</v>
      </c>
      <c r="E1244" s="10" t="s">
        <v>20</v>
      </c>
      <c r="F1244" s="6" t="s">
        <v>11</v>
      </c>
      <c r="G1244" s="8">
        <v>79.150000000000006</v>
      </c>
      <c r="H1244" s="6"/>
    </row>
    <row r="1245" spans="1:8">
      <c r="A1245" s="5">
        <v>898</v>
      </c>
      <c r="B1245" s="6" t="str">
        <f>"熊小洁"</f>
        <v>熊小洁</v>
      </c>
      <c r="C1245" s="6" t="str">
        <f t="shared" si="55"/>
        <v>女</v>
      </c>
      <c r="D1245" s="6" t="str">
        <f>"202117030718"</f>
        <v>202117030718</v>
      </c>
      <c r="E1245" s="10" t="s">
        <v>20</v>
      </c>
      <c r="F1245" s="6" t="s">
        <v>11</v>
      </c>
      <c r="G1245" s="8">
        <v>89.5</v>
      </c>
      <c r="H1245" s="6"/>
    </row>
    <row r="1246" spans="1:8">
      <c r="A1246" s="5">
        <v>875</v>
      </c>
      <c r="B1246" s="6" t="str">
        <f>"刘思思"</f>
        <v>刘思思</v>
      </c>
      <c r="C1246" s="6" t="str">
        <f t="shared" si="55"/>
        <v>女</v>
      </c>
      <c r="D1246" s="6" t="str">
        <f>"202117030719"</f>
        <v>202117030719</v>
      </c>
      <c r="E1246" s="10" t="s">
        <v>20</v>
      </c>
      <c r="F1246" s="6" t="s">
        <v>11</v>
      </c>
      <c r="G1246" s="8">
        <v>93.25</v>
      </c>
      <c r="H1246" s="6"/>
    </row>
    <row r="1247" spans="1:8">
      <c r="A1247" s="5">
        <v>1026</v>
      </c>
      <c r="B1247" s="6" t="str">
        <f>"李垚"</f>
        <v>李垚</v>
      </c>
      <c r="C1247" s="6" t="str">
        <f t="shared" si="55"/>
        <v>女</v>
      </c>
      <c r="D1247" s="6" t="str">
        <f>"202117030720"</f>
        <v>202117030720</v>
      </c>
      <c r="E1247" s="10" t="s">
        <v>20</v>
      </c>
      <c r="F1247" s="6" t="s">
        <v>11</v>
      </c>
      <c r="G1247" s="8">
        <v>88.8</v>
      </c>
      <c r="H1247" s="6"/>
    </row>
    <row r="1248" spans="1:8">
      <c r="A1248" s="5">
        <v>999</v>
      </c>
      <c r="B1248" s="6" t="str">
        <f>"李方艳"</f>
        <v>李方艳</v>
      </c>
      <c r="C1248" s="6" t="str">
        <f t="shared" si="55"/>
        <v>女</v>
      </c>
      <c r="D1248" s="6" t="str">
        <f>"202117030721"</f>
        <v>202117030721</v>
      </c>
      <c r="E1248" s="10" t="s">
        <v>20</v>
      </c>
      <c r="F1248" s="6" t="s">
        <v>11</v>
      </c>
      <c r="G1248" s="8">
        <v>67</v>
      </c>
      <c r="H1248" s="6"/>
    </row>
    <row r="1249" spans="1:8">
      <c r="A1249" s="5">
        <v>1210</v>
      </c>
      <c r="B1249" s="6" t="str">
        <f>"陈素"</f>
        <v>陈素</v>
      </c>
      <c r="C1249" s="6" t="str">
        <f t="shared" si="55"/>
        <v>女</v>
      </c>
      <c r="D1249" s="6" t="str">
        <f>"202117030722"</f>
        <v>202117030722</v>
      </c>
      <c r="E1249" s="10" t="s">
        <v>20</v>
      </c>
      <c r="F1249" s="6" t="s">
        <v>11</v>
      </c>
      <c r="G1249" s="8">
        <v>47.5</v>
      </c>
      <c r="H1249" s="6"/>
    </row>
    <row r="1250" spans="1:8">
      <c r="A1250" s="5">
        <v>1183</v>
      </c>
      <c r="B1250" s="6" t="str">
        <f>"曾建芳"</f>
        <v>曾建芳</v>
      </c>
      <c r="C1250" s="6" t="str">
        <f t="shared" si="55"/>
        <v>女</v>
      </c>
      <c r="D1250" s="6" t="str">
        <f>"202117030723"</f>
        <v>202117030723</v>
      </c>
      <c r="E1250" s="10" t="s">
        <v>20</v>
      </c>
      <c r="F1250" s="6" t="s">
        <v>11</v>
      </c>
      <c r="G1250" s="8">
        <v>93.25</v>
      </c>
      <c r="H1250" s="6"/>
    </row>
    <row r="1251" spans="1:8">
      <c r="A1251" s="5">
        <v>879</v>
      </c>
      <c r="B1251" s="6" t="str">
        <f>"胡艳蓉"</f>
        <v>胡艳蓉</v>
      </c>
      <c r="C1251" s="6" t="str">
        <f t="shared" si="55"/>
        <v>女</v>
      </c>
      <c r="D1251" s="6" t="str">
        <f>"202117030724"</f>
        <v>202117030724</v>
      </c>
      <c r="E1251" s="10" t="s">
        <v>20</v>
      </c>
      <c r="F1251" s="6" t="s">
        <v>11</v>
      </c>
      <c r="G1251" s="8">
        <v>56.95</v>
      </c>
      <c r="H1251" s="6"/>
    </row>
    <row r="1252" spans="1:8">
      <c r="A1252" s="5">
        <v>1209</v>
      </c>
      <c r="B1252" s="6" t="str">
        <f>"刘怡"</f>
        <v>刘怡</v>
      </c>
      <c r="C1252" s="6" t="str">
        <f t="shared" si="55"/>
        <v>女</v>
      </c>
      <c r="D1252" s="6" t="str">
        <f>"202117030725"</f>
        <v>202117030725</v>
      </c>
      <c r="E1252" s="10" t="s">
        <v>20</v>
      </c>
      <c r="F1252" s="6" t="s">
        <v>11</v>
      </c>
      <c r="G1252" s="8">
        <v>88.05</v>
      </c>
      <c r="H1252" s="6"/>
    </row>
    <row r="1253" spans="1:8">
      <c r="A1253" s="5">
        <v>859</v>
      </c>
      <c r="B1253" s="6" t="str">
        <f>"陈紫舟"</f>
        <v>陈紫舟</v>
      </c>
      <c r="C1253" s="6" t="str">
        <f>"男"</f>
        <v>男</v>
      </c>
      <c r="D1253" s="6" t="str">
        <f>"202117030726"</f>
        <v>202117030726</v>
      </c>
      <c r="E1253" s="10" t="s">
        <v>20</v>
      </c>
      <c r="F1253" s="6" t="s">
        <v>11</v>
      </c>
      <c r="G1253" s="8">
        <v>0</v>
      </c>
      <c r="H1253" s="9">
        <v>1</v>
      </c>
    </row>
    <row r="1254" spans="1:8">
      <c r="A1254" s="5">
        <v>1205</v>
      </c>
      <c r="B1254" s="6" t="str">
        <f>"易肖潇"</f>
        <v>易肖潇</v>
      </c>
      <c r="C1254" s="6" t="str">
        <f>"女"</f>
        <v>女</v>
      </c>
      <c r="D1254" s="6" t="str">
        <f>"202117030727"</f>
        <v>202117030727</v>
      </c>
      <c r="E1254" s="10" t="s">
        <v>20</v>
      </c>
      <c r="F1254" s="6" t="s">
        <v>11</v>
      </c>
      <c r="G1254" s="8">
        <v>73.55</v>
      </c>
      <c r="H1254" s="6"/>
    </row>
    <row r="1255" spans="1:8">
      <c r="A1255" s="5">
        <v>1056</v>
      </c>
      <c r="B1255" s="6" t="str">
        <f>"张玲"</f>
        <v>张玲</v>
      </c>
      <c r="C1255" s="6" t="str">
        <f>"女"</f>
        <v>女</v>
      </c>
      <c r="D1255" s="6" t="str">
        <f>"202117030728"</f>
        <v>202117030728</v>
      </c>
      <c r="E1255" s="10" t="s">
        <v>20</v>
      </c>
      <c r="F1255" s="6" t="s">
        <v>11</v>
      </c>
      <c r="G1255" s="8">
        <v>85</v>
      </c>
      <c r="H1255" s="6"/>
    </row>
    <row r="1256" spans="1:8">
      <c r="A1256" s="5">
        <v>858</v>
      </c>
      <c r="B1256" s="6" t="str">
        <f>"刘昪彦"</f>
        <v>刘昪彦</v>
      </c>
      <c r="C1256" s="6" t="str">
        <f>"男"</f>
        <v>男</v>
      </c>
      <c r="D1256" s="6" t="str">
        <f>"202117030729"</f>
        <v>202117030729</v>
      </c>
      <c r="E1256" s="10" t="s">
        <v>20</v>
      </c>
      <c r="F1256" s="6" t="s">
        <v>11</v>
      </c>
      <c r="G1256" s="8">
        <v>0</v>
      </c>
      <c r="H1256" s="9">
        <v>1</v>
      </c>
    </row>
    <row r="1257" spans="1:8">
      <c r="A1257" s="5">
        <v>1218</v>
      </c>
      <c r="B1257" s="6" t="str">
        <f>"王琴"</f>
        <v>王琴</v>
      </c>
      <c r="C1257" s="6" t="str">
        <f>"女"</f>
        <v>女</v>
      </c>
      <c r="D1257" s="6" t="str">
        <f>"202117030730"</f>
        <v>202117030730</v>
      </c>
      <c r="E1257" s="10" t="s">
        <v>20</v>
      </c>
      <c r="F1257" s="6" t="s">
        <v>11</v>
      </c>
      <c r="G1257" s="8">
        <v>92.5</v>
      </c>
      <c r="H1257" s="6"/>
    </row>
    <row r="1258" spans="1:8">
      <c r="A1258" s="5">
        <v>991</v>
      </c>
      <c r="B1258" s="6" t="str">
        <f>"邓芬"</f>
        <v>邓芬</v>
      </c>
      <c r="C1258" s="6" t="str">
        <f>"女"</f>
        <v>女</v>
      </c>
      <c r="D1258" s="6" t="str">
        <f>"202117030801"</f>
        <v>202117030801</v>
      </c>
      <c r="E1258" s="10" t="s">
        <v>20</v>
      </c>
      <c r="F1258" s="6" t="s">
        <v>11</v>
      </c>
      <c r="G1258" s="8">
        <v>0</v>
      </c>
      <c r="H1258" s="9">
        <v>1</v>
      </c>
    </row>
    <row r="1259" spans="1:8">
      <c r="A1259" s="5">
        <v>1162</v>
      </c>
      <c r="B1259" s="6" t="str">
        <f>"曾广斌"</f>
        <v>曾广斌</v>
      </c>
      <c r="C1259" s="6" t="str">
        <f>"男"</f>
        <v>男</v>
      </c>
      <c r="D1259" s="6" t="str">
        <f>"202117030802"</f>
        <v>202117030802</v>
      </c>
      <c r="E1259" s="10" t="s">
        <v>20</v>
      </c>
      <c r="F1259" s="6" t="s">
        <v>11</v>
      </c>
      <c r="G1259" s="8">
        <v>89.35</v>
      </c>
      <c r="H1259" s="6"/>
    </row>
    <row r="1260" spans="1:8">
      <c r="A1260" s="5">
        <v>1195</v>
      </c>
      <c r="B1260" s="6" t="str">
        <f>"肖茹月"</f>
        <v>肖茹月</v>
      </c>
      <c r="C1260" s="6" t="str">
        <f t="shared" ref="C1260:C1266" si="56">"女"</f>
        <v>女</v>
      </c>
      <c r="D1260" s="6" t="str">
        <f>"202117030803"</f>
        <v>202117030803</v>
      </c>
      <c r="E1260" s="10" t="s">
        <v>20</v>
      </c>
      <c r="F1260" s="6" t="s">
        <v>11</v>
      </c>
      <c r="G1260" s="8">
        <v>80.400000000000006</v>
      </c>
      <c r="H1260" s="6"/>
    </row>
    <row r="1261" spans="1:8">
      <c r="A1261" s="5">
        <v>1117</v>
      </c>
      <c r="B1261" s="6" t="str">
        <f>"陈艳琪"</f>
        <v>陈艳琪</v>
      </c>
      <c r="C1261" s="6" t="str">
        <f t="shared" si="56"/>
        <v>女</v>
      </c>
      <c r="D1261" s="6" t="str">
        <f>"202117030804"</f>
        <v>202117030804</v>
      </c>
      <c r="E1261" s="10" t="s">
        <v>20</v>
      </c>
      <c r="F1261" s="6" t="s">
        <v>11</v>
      </c>
      <c r="G1261" s="8">
        <v>71.849999999999994</v>
      </c>
      <c r="H1261" s="6"/>
    </row>
    <row r="1262" spans="1:8">
      <c r="A1262" s="5">
        <v>933</v>
      </c>
      <c r="B1262" s="6" t="str">
        <f>"姜雨欢"</f>
        <v>姜雨欢</v>
      </c>
      <c r="C1262" s="6" t="str">
        <f t="shared" si="56"/>
        <v>女</v>
      </c>
      <c r="D1262" s="6" t="str">
        <f>"202117030805"</f>
        <v>202117030805</v>
      </c>
      <c r="E1262" s="10" t="s">
        <v>20</v>
      </c>
      <c r="F1262" s="6" t="s">
        <v>11</v>
      </c>
      <c r="G1262" s="8">
        <v>87.25</v>
      </c>
      <c r="H1262" s="6"/>
    </row>
    <row r="1263" spans="1:8">
      <c r="A1263" s="5">
        <v>909</v>
      </c>
      <c r="B1263" s="6" t="str">
        <f>"刘唯"</f>
        <v>刘唯</v>
      </c>
      <c r="C1263" s="6" t="str">
        <f t="shared" si="56"/>
        <v>女</v>
      </c>
      <c r="D1263" s="6" t="str">
        <f>"202117030806"</f>
        <v>202117030806</v>
      </c>
      <c r="E1263" s="10" t="s">
        <v>20</v>
      </c>
      <c r="F1263" s="6" t="s">
        <v>11</v>
      </c>
      <c r="G1263" s="8">
        <v>0</v>
      </c>
      <c r="H1263" s="9">
        <v>1</v>
      </c>
    </row>
    <row r="1264" spans="1:8">
      <c r="A1264" s="5">
        <v>860</v>
      </c>
      <c r="B1264" s="6" t="str">
        <f>"罗琳琳"</f>
        <v>罗琳琳</v>
      </c>
      <c r="C1264" s="6" t="str">
        <f t="shared" si="56"/>
        <v>女</v>
      </c>
      <c r="D1264" s="6" t="str">
        <f>"202117030807"</f>
        <v>202117030807</v>
      </c>
      <c r="E1264" s="10" t="s">
        <v>20</v>
      </c>
      <c r="F1264" s="6" t="s">
        <v>11</v>
      </c>
      <c r="G1264" s="8">
        <v>0</v>
      </c>
      <c r="H1264" s="9">
        <v>1</v>
      </c>
    </row>
    <row r="1265" spans="1:8">
      <c r="A1265" s="5">
        <v>1158</v>
      </c>
      <c r="B1265" s="6" t="str">
        <f>"雷红娥"</f>
        <v>雷红娥</v>
      </c>
      <c r="C1265" s="6" t="str">
        <f t="shared" si="56"/>
        <v>女</v>
      </c>
      <c r="D1265" s="6" t="str">
        <f>"202117030808"</f>
        <v>202117030808</v>
      </c>
      <c r="E1265" s="10" t="s">
        <v>20</v>
      </c>
      <c r="F1265" s="6" t="s">
        <v>11</v>
      </c>
      <c r="G1265" s="8">
        <v>60.4</v>
      </c>
      <c r="H1265" s="6"/>
    </row>
    <row r="1266" spans="1:8">
      <c r="A1266" s="5">
        <v>1020</v>
      </c>
      <c r="B1266" s="6" t="str">
        <f>"伍雪梅"</f>
        <v>伍雪梅</v>
      </c>
      <c r="C1266" s="6" t="str">
        <f t="shared" si="56"/>
        <v>女</v>
      </c>
      <c r="D1266" s="6" t="str">
        <f>"202117030809"</f>
        <v>202117030809</v>
      </c>
      <c r="E1266" s="10" t="s">
        <v>20</v>
      </c>
      <c r="F1266" s="6" t="s">
        <v>11</v>
      </c>
      <c r="G1266" s="8">
        <v>46.85</v>
      </c>
      <c r="H1266" s="6"/>
    </row>
    <row r="1267" spans="1:8">
      <c r="A1267" s="5">
        <v>1006</v>
      </c>
      <c r="B1267" s="6" t="str">
        <f>"黎东"</f>
        <v>黎东</v>
      </c>
      <c r="C1267" s="6" t="str">
        <f>"男"</f>
        <v>男</v>
      </c>
      <c r="D1267" s="6" t="str">
        <f>"202117030810"</f>
        <v>202117030810</v>
      </c>
      <c r="E1267" s="10" t="s">
        <v>20</v>
      </c>
      <c r="F1267" s="6" t="s">
        <v>11</v>
      </c>
      <c r="G1267" s="8">
        <v>78.150000000000006</v>
      </c>
      <c r="H1267" s="6"/>
    </row>
    <row r="1268" spans="1:8">
      <c r="A1268" s="5">
        <v>1047</v>
      </c>
      <c r="B1268" s="6" t="str">
        <f>"刘玉玲"</f>
        <v>刘玉玲</v>
      </c>
      <c r="C1268" s="6" t="str">
        <f>"女"</f>
        <v>女</v>
      </c>
      <c r="D1268" s="6" t="str">
        <f>"202117030811"</f>
        <v>202117030811</v>
      </c>
      <c r="E1268" s="10" t="s">
        <v>20</v>
      </c>
      <c r="F1268" s="6" t="s">
        <v>11</v>
      </c>
      <c r="G1268" s="8">
        <v>71.2</v>
      </c>
      <c r="H1268" s="6"/>
    </row>
    <row r="1269" spans="1:8">
      <c r="A1269" s="5">
        <v>1184</v>
      </c>
      <c r="B1269" s="6" t="str">
        <f>"吕亚"</f>
        <v>吕亚</v>
      </c>
      <c r="C1269" s="6" t="str">
        <f>"女"</f>
        <v>女</v>
      </c>
      <c r="D1269" s="6" t="str">
        <f>"202117030812"</f>
        <v>202117030812</v>
      </c>
      <c r="E1269" s="10" t="s">
        <v>20</v>
      </c>
      <c r="F1269" s="6" t="s">
        <v>11</v>
      </c>
      <c r="G1269" s="8">
        <v>77.400000000000006</v>
      </c>
      <c r="H1269" s="6"/>
    </row>
    <row r="1270" spans="1:8">
      <c r="A1270" s="5">
        <v>1099</v>
      </c>
      <c r="B1270" s="6" t="str">
        <f>"王淑玲"</f>
        <v>王淑玲</v>
      </c>
      <c r="C1270" s="6" t="str">
        <f>"女"</f>
        <v>女</v>
      </c>
      <c r="D1270" s="6" t="str">
        <f>"202117030813"</f>
        <v>202117030813</v>
      </c>
      <c r="E1270" s="10" t="s">
        <v>20</v>
      </c>
      <c r="F1270" s="6" t="s">
        <v>11</v>
      </c>
      <c r="G1270" s="8">
        <v>71.900000000000006</v>
      </c>
      <c r="H1270" s="6"/>
    </row>
    <row r="1271" spans="1:8">
      <c r="A1271" s="5">
        <v>1129</v>
      </c>
      <c r="B1271" s="6" t="str">
        <f>"刘定港"</f>
        <v>刘定港</v>
      </c>
      <c r="C1271" s="6" t="str">
        <f>"男"</f>
        <v>男</v>
      </c>
      <c r="D1271" s="6" t="str">
        <f>"202117030814"</f>
        <v>202117030814</v>
      </c>
      <c r="E1271" s="10" t="s">
        <v>20</v>
      </c>
      <c r="F1271" s="6" t="s">
        <v>11</v>
      </c>
      <c r="G1271" s="8">
        <v>91.05</v>
      </c>
      <c r="H1271" s="6"/>
    </row>
    <row r="1272" spans="1:8">
      <c r="A1272" s="5">
        <v>1159</v>
      </c>
      <c r="B1272" s="6" t="str">
        <f>"刘培飞"</f>
        <v>刘培飞</v>
      </c>
      <c r="C1272" s="6" t="str">
        <f t="shared" ref="C1272:C1281" si="57">"女"</f>
        <v>女</v>
      </c>
      <c r="D1272" s="6" t="str">
        <f>"202117030815"</f>
        <v>202117030815</v>
      </c>
      <c r="E1272" s="10" t="s">
        <v>20</v>
      </c>
      <c r="F1272" s="6" t="s">
        <v>11</v>
      </c>
      <c r="G1272" s="8">
        <v>85.55</v>
      </c>
      <c r="H1272" s="6"/>
    </row>
    <row r="1273" spans="1:8">
      <c r="A1273" s="5">
        <v>1160</v>
      </c>
      <c r="B1273" s="6" t="str">
        <f>"李慧"</f>
        <v>李慧</v>
      </c>
      <c r="C1273" s="6" t="str">
        <f t="shared" si="57"/>
        <v>女</v>
      </c>
      <c r="D1273" s="6" t="str">
        <f>"202117030816"</f>
        <v>202117030816</v>
      </c>
      <c r="E1273" s="10" t="s">
        <v>20</v>
      </c>
      <c r="F1273" s="6" t="s">
        <v>11</v>
      </c>
      <c r="G1273" s="8">
        <v>72.75</v>
      </c>
      <c r="H1273" s="6"/>
    </row>
    <row r="1274" spans="1:8">
      <c r="A1274" s="5">
        <v>1119</v>
      </c>
      <c r="B1274" s="6" t="str">
        <f>"刘希"</f>
        <v>刘希</v>
      </c>
      <c r="C1274" s="6" t="str">
        <f t="shared" si="57"/>
        <v>女</v>
      </c>
      <c r="D1274" s="6" t="str">
        <f>"202117030817"</f>
        <v>202117030817</v>
      </c>
      <c r="E1274" s="10" t="s">
        <v>20</v>
      </c>
      <c r="F1274" s="6" t="s">
        <v>11</v>
      </c>
      <c r="G1274" s="8">
        <v>76.75</v>
      </c>
      <c r="H1274" s="6"/>
    </row>
    <row r="1275" spans="1:8">
      <c r="A1275" s="5">
        <v>1144</v>
      </c>
      <c r="B1275" s="6" t="str">
        <f>"范榕"</f>
        <v>范榕</v>
      </c>
      <c r="C1275" s="6" t="str">
        <f t="shared" si="57"/>
        <v>女</v>
      </c>
      <c r="D1275" s="6" t="str">
        <f>"202117030818"</f>
        <v>202117030818</v>
      </c>
      <c r="E1275" s="10" t="s">
        <v>20</v>
      </c>
      <c r="F1275" s="6" t="s">
        <v>11</v>
      </c>
      <c r="G1275" s="8">
        <v>84.1</v>
      </c>
      <c r="H1275" s="6"/>
    </row>
    <row r="1276" spans="1:8">
      <c r="A1276" s="5">
        <v>1093</v>
      </c>
      <c r="B1276" s="6" t="str">
        <f>"吴晓荣"</f>
        <v>吴晓荣</v>
      </c>
      <c r="C1276" s="6" t="str">
        <f t="shared" si="57"/>
        <v>女</v>
      </c>
      <c r="D1276" s="6" t="str">
        <f>"202117030819"</f>
        <v>202117030819</v>
      </c>
      <c r="E1276" s="10" t="s">
        <v>20</v>
      </c>
      <c r="F1276" s="6" t="s">
        <v>11</v>
      </c>
      <c r="G1276" s="8">
        <v>79.45</v>
      </c>
      <c r="H1276" s="6"/>
    </row>
    <row r="1277" spans="1:8">
      <c r="A1277" s="5">
        <v>1213</v>
      </c>
      <c r="B1277" s="6" t="str">
        <f>"杨鑫"</f>
        <v>杨鑫</v>
      </c>
      <c r="C1277" s="6" t="str">
        <f t="shared" si="57"/>
        <v>女</v>
      </c>
      <c r="D1277" s="6" t="str">
        <f>"202117030820"</f>
        <v>202117030820</v>
      </c>
      <c r="E1277" s="10" t="s">
        <v>20</v>
      </c>
      <c r="F1277" s="6" t="s">
        <v>11</v>
      </c>
      <c r="G1277" s="8">
        <v>74.900000000000006</v>
      </c>
      <c r="H1277" s="6"/>
    </row>
    <row r="1278" spans="1:8">
      <c r="A1278" s="5">
        <v>966</v>
      </c>
      <c r="B1278" s="6" t="str">
        <f>"马妮"</f>
        <v>马妮</v>
      </c>
      <c r="C1278" s="6" t="str">
        <f t="shared" si="57"/>
        <v>女</v>
      </c>
      <c r="D1278" s="6" t="str">
        <f>"202117030821"</f>
        <v>202117030821</v>
      </c>
      <c r="E1278" s="10" t="s">
        <v>20</v>
      </c>
      <c r="F1278" s="6" t="s">
        <v>11</v>
      </c>
      <c r="G1278" s="8">
        <v>0</v>
      </c>
      <c r="H1278" s="9">
        <v>1</v>
      </c>
    </row>
    <row r="1279" spans="1:8">
      <c r="A1279" s="5">
        <v>1001</v>
      </c>
      <c r="B1279" s="6" t="str">
        <f>"黄美桂"</f>
        <v>黄美桂</v>
      </c>
      <c r="C1279" s="6" t="str">
        <f t="shared" si="57"/>
        <v>女</v>
      </c>
      <c r="D1279" s="6" t="str">
        <f>"202117030822"</f>
        <v>202117030822</v>
      </c>
      <c r="E1279" s="10" t="s">
        <v>20</v>
      </c>
      <c r="F1279" s="6" t="s">
        <v>11</v>
      </c>
      <c r="G1279" s="8">
        <v>70.45</v>
      </c>
      <c r="H1279" s="6"/>
    </row>
    <row r="1280" spans="1:8">
      <c r="A1280" s="5">
        <v>1095</v>
      </c>
      <c r="B1280" s="6" t="str">
        <f>"戴景"</f>
        <v>戴景</v>
      </c>
      <c r="C1280" s="6" t="str">
        <f t="shared" si="57"/>
        <v>女</v>
      </c>
      <c r="D1280" s="6" t="str">
        <f>"202117030823"</f>
        <v>202117030823</v>
      </c>
      <c r="E1280" s="10" t="s">
        <v>20</v>
      </c>
      <c r="F1280" s="6" t="s">
        <v>11</v>
      </c>
      <c r="G1280" s="8">
        <v>66.5</v>
      </c>
      <c r="H1280" s="6"/>
    </row>
    <row r="1281" spans="1:8">
      <c r="A1281" s="5">
        <v>916</v>
      </c>
      <c r="B1281" s="6" t="str">
        <f>"王琰"</f>
        <v>王琰</v>
      </c>
      <c r="C1281" s="6" t="str">
        <f t="shared" si="57"/>
        <v>女</v>
      </c>
      <c r="D1281" s="6" t="str">
        <f>"202117030824"</f>
        <v>202117030824</v>
      </c>
      <c r="E1281" s="10" t="s">
        <v>20</v>
      </c>
      <c r="F1281" s="6" t="s">
        <v>11</v>
      </c>
      <c r="G1281" s="8">
        <v>0</v>
      </c>
      <c r="H1281" s="9">
        <v>1</v>
      </c>
    </row>
    <row r="1282" spans="1:8">
      <c r="A1282" s="5">
        <v>894</v>
      </c>
      <c r="B1282" s="6" t="str">
        <f>"林奕"</f>
        <v>林奕</v>
      </c>
      <c r="C1282" s="6" t="str">
        <f>"男"</f>
        <v>男</v>
      </c>
      <c r="D1282" s="6" t="str">
        <f>"202117030825"</f>
        <v>202117030825</v>
      </c>
      <c r="E1282" s="10" t="s">
        <v>20</v>
      </c>
      <c r="F1282" s="6" t="s">
        <v>11</v>
      </c>
      <c r="G1282" s="8">
        <v>85.35</v>
      </c>
      <c r="H1282" s="6"/>
    </row>
    <row r="1283" spans="1:8">
      <c r="A1283" s="5">
        <v>1008</v>
      </c>
      <c r="B1283" s="6" t="str">
        <f>"陈园园"</f>
        <v>陈园园</v>
      </c>
      <c r="C1283" s="6" t="str">
        <f>"女"</f>
        <v>女</v>
      </c>
      <c r="D1283" s="6" t="str">
        <f>"202117030826"</f>
        <v>202117030826</v>
      </c>
      <c r="E1283" s="10" t="s">
        <v>20</v>
      </c>
      <c r="F1283" s="6" t="s">
        <v>11</v>
      </c>
      <c r="G1283" s="8">
        <v>91.75</v>
      </c>
      <c r="H1283" s="6"/>
    </row>
    <row r="1284" spans="1:8">
      <c r="A1284" s="5">
        <v>1128</v>
      </c>
      <c r="B1284" s="6" t="str">
        <f>"曾秋诗"</f>
        <v>曾秋诗</v>
      </c>
      <c r="C1284" s="6" t="str">
        <f>"女"</f>
        <v>女</v>
      </c>
      <c r="D1284" s="6" t="str">
        <f>"202117030827"</f>
        <v>202117030827</v>
      </c>
      <c r="E1284" s="10" t="s">
        <v>20</v>
      </c>
      <c r="F1284" s="6" t="s">
        <v>11</v>
      </c>
      <c r="G1284" s="8">
        <v>85.1</v>
      </c>
      <c r="H1284" s="6"/>
    </row>
    <row r="1285" spans="1:8">
      <c r="A1285" s="5">
        <v>967</v>
      </c>
      <c r="B1285" s="6" t="str">
        <f>"黄强"</f>
        <v>黄强</v>
      </c>
      <c r="C1285" s="6" t="str">
        <f>"男"</f>
        <v>男</v>
      </c>
      <c r="D1285" s="6" t="str">
        <f>"202117030828"</f>
        <v>202117030828</v>
      </c>
      <c r="E1285" s="10" t="s">
        <v>20</v>
      </c>
      <c r="F1285" s="6" t="s">
        <v>11</v>
      </c>
      <c r="G1285" s="8">
        <v>0</v>
      </c>
      <c r="H1285" s="9">
        <v>1</v>
      </c>
    </row>
    <row r="1286" spans="1:8">
      <c r="A1286" s="5">
        <v>1136</v>
      </c>
      <c r="B1286" s="6" t="str">
        <f>"陈霞"</f>
        <v>陈霞</v>
      </c>
      <c r="C1286" s="6" t="str">
        <f t="shared" ref="C1286:C1302" si="58">"女"</f>
        <v>女</v>
      </c>
      <c r="D1286" s="6" t="str">
        <f>"202117030829"</f>
        <v>202117030829</v>
      </c>
      <c r="E1286" s="10" t="s">
        <v>20</v>
      </c>
      <c r="F1286" s="6" t="s">
        <v>11</v>
      </c>
      <c r="G1286" s="8">
        <v>0</v>
      </c>
      <c r="H1286" s="9">
        <v>1</v>
      </c>
    </row>
    <row r="1287" spans="1:8">
      <c r="A1287" s="5">
        <v>1063</v>
      </c>
      <c r="B1287" s="6" t="str">
        <f>"胡洁"</f>
        <v>胡洁</v>
      </c>
      <c r="C1287" s="6" t="str">
        <f t="shared" si="58"/>
        <v>女</v>
      </c>
      <c r="D1287" s="6" t="str">
        <f>"202117030830"</f>
        <v>202117030830</v>
      </c>
      <c r="E1287" s="10" t="s">
        <v>20</v>
      </c>
      <c r="F1287" s="6" t="s">
        <v>11</v>
      </c>
      <c r="G1287" s="8">
        <v>72.150000000000006</v>
      </c>
      <c r="H1287" s="6"/>
    </row>
    <row r="1288" spans="1:8">
      <c r="A1288" s="5">
        <v>1066</v>
      </c>
      <c r="B1288" s="6" t="str">
        <f>"朱丹"</f>
        <v>朱丹</v>
      </c>
      <c r="C1288" s="6" t="str">
        <f t="shared" si="58"/>
        <v>女</v>
      </c>
      <c r="D1288" s="6" t="str">
        <f>"202117030901"</f>
        <v>202117030901</v>
      </c>
      <c r="E1288" s="10" t="s">
        <v>20</v>
      </c>
      <c r="F1288" s="6" t="s">
        <v>11</v>
      </c>
      <c r="G1288" s="8">
        <v>82.6</v>
      </c>
      <c r="H1288" s="6"/>
    </row>
    <row r="1289" spans="1:8">
      <c r="A1289" s="5">
        <v>1051</v>
      </c>
      <c r="B1289" s="6" t="str">
        <f>"岳静"</f>
        <v>岳静</v>
      </c>
      <c r="C1289" s="6" t="str">
        <f t="shared" si="58"/>
        <v>女</v>
      </c>
      <c r="D1289" s="6" t="str">
        <f>"202117030902"</f>
        <v>202117030902</v>
      </c>
      <c r="E1289" s="10" t="s">
        <v>20</v>
      </c>
      <c r="F1289" s="6" t="s">
        <v>11</v>
      </c>
      <c r="G1289" s="8">
        <v>20.5</v>
      </c>
      <c r="H1289" s="6"/>
    </row>
    <row r="1290" spans="1:8">
      <c r="A1290" s="5">
        <v>895</v>
      </c>
      <c r="B1290" s="6" t="str">
        <f>"龙霞"</f>
        <v>龙霞</v>
      </c>
      <c r="C1290" s="6" t="str">
        <f t="shared" si="58"/>
        <v>女</v>
      </c>
      <c r="D1290" s="6" t="str">
        <f>"202117030903"</f>
        <v>202117030903</v>
      </c>
      <c r="E1290" s="10" t="s">
        <v>20</v>
      </c>
      <c r="F1290" s="6" t="s">
        <v>11</v>
      </c>
      <c r="G1290" s="8">
        <v>89.8</v>
      </c>
      <c r="H1290" s="6"/>
    </row>
    <row r="1291" spans="1:8">
      <c r="A1291" s="5">
        <v>892</v>
      </c>
      <c r="B1291" s="6" t="str">
        <f>"孟春兰"</f>
        <v>孟春兰</v>
      </c>
      <c r="C1291" s="6" t="str">
        <f t="shared" si="58"/>
        <v>女</v>
      </c>
      <c r="D1291" s="6" t="str">
        <f>"202117030904"</f>
        <v>202117030904</v>
      </c>
      <c r="E1291" s="10" t="s">
        <v>20</v>
      </c>
      <c r="F1291" s="6" t="s">
        <v>11</v>
      </c>
      <c r="G1291" s="8">
        <v>0</v>
      </c>
      <c r="H1291" s="9">
        <v>1</v>
      </c>
    </row>
    <row r="1292" spans="1:8">
      <c r="A1292" s="5">
        <v>1106</v>
      </c>
      <c r="B1292" s="6" t="str">
        <f>"史婉琪"</f>
        <v>史婉琪</v>
      </c>
      <c r="C1292" s="6" t="str">
        <f t="shared" si="58"/>
        <v>女</v>
      </c>
      <c r="D1292" s="6" t="str">
        <f>"202117030905"</f>
        <v>202117030905</v>
      </c>
      <c r="E1292" s="10" t="s">
        <v>20</v>
      </c>
      <c r="F1292" s="6" t="s">
        <v>11</v>
      </c>
      <c r="G1292" s="8">
        <v>86.35</v>
      </c>
      <c r="H1292" s="6"/>
    </row>
    <row r="1293" spans="1:8">
      <c r="A1293" s="5">
        <v>1016</v>
      </c>
      <c r="B1293" s="6" t="str">
        <f>"杨桂兰"</f>
        <v>杨桂兰</v>
      </c>
      <c r="C1293" s="6" t="str">
        <f t="shared" si="58"/>
        <v>女</v>
      </c>
      <c r="D1293" s="6" t="str">
        <f>"202117030906"</f>
        <v>202117030906</v>
      </c>
      <c r="E1293" s="10" t="s">
        <v>20</v>
      </c>
      <c r="F1293" s="6" t="s">
        <v>11</v>
      </c>
      <c r="G1293" s="8">
        <v>89</v>
      </c>
      <c r="H1293" s="6"/>
    </row>
    <row r="1294" spans="1:8">
      <c r="A1294" s="5">
        <v>903</v>
      </c>
      <c r="B1294" s="6" t="str">
        <f>"陈艳"</f>
        <v>陈艳</v>
      </c>
      <c r="C1294" s="6" t="str">
        <f t="shared" si="58"/>
        <v>女</v>
      </c>
      <c r="D1294" s="6" t="str">
        <f>"202117030907"</f>
        <v>202117030907</v>
      </c>
      <c r="E1294" s="10" t="s">
        <v>20</v>
      </c>
      <c r="F1294" s="6" t="s">
        <v>11</v>
      </c>
      <c r="G1294" s="8">
        <v>71.599999999999994</v>
      </c>
      <c r="H1294" s="6"/>
    </row>
    <row r="1295" spans="1:8">
      <c r="A1295" s="5">
        <v>940</v>
      </c>
      <c r="B1295" s="6" t="str">
        <f>"刘露"</f>
        <v>刘露</v>
      </c>
      <c r="C1295" s="6" t="str">
        <f t="shared" si="58"/>
        <v>女</v>
      </c>
      <c r="D1295" s="6" t="str">
        <f>"202117030908"</f>
        <v>202117030908</v>
      </c>
      <c r="E1295" s="10" t="s">
        <v>20</v>
      </c>
      <c r="F1295" s="6" t="s">
        <v>11</v>
      </c>
      <c r="G1295" s="8">
        <v>75.650000000000006</v>
      </c>
      <c r="H1295" s="6"/>
    </row>
    <row r="1296" spans="1:8">
      <c r="A1296" s="5">
        <v>1070</v>
      </c>
      <c r="B1296" s="6" t="str">
        <f>"吕巧巧"</f>
        <v>吕巧巧</v>
      </c>
      <c r="C1296" s="6" t="str">
        <f t="shared" si="58"/>
        <v>女</v>
      </c>
      <c r="D1296" s="6" t="str">
        <f>"202117030909"</f>
        <v>202117030909</v>
      </c>
      <c r="E1296" s="10" t="s">
        <v>20</v>
      </c>
      <c r="F1296" s="6" t="s">
        <v>11</v>
      </c>
      <c r="G1296" s="8">
        <v>74.8</v>
      </c>
      <c r="H1296" s="6"/>
    </row>
    <row r="1297" spans="1:8">
      <c r="A1297" s="5">
        <v>888</v>
      </c>
      <c r="B1297" s="6" t="str">
        <f>"岳妍伊"</f>
        <v>岳妍伊</v>
      </c>
      <c r="C1297" s="6" t="str">
        <f t="shared" si="58"/>
        <v>女</v>
      </c>
      <c r="D1297" s="6" t="str">
        <f>"202117030910"</f>
        <v>202117030910</v>
      </c>
      <c r="E1297" s="10" t="s">
        <v>20</v>
      </c>
      <c r="F1297" s="6" t="s">
        <v>11</v>
      </c>
      <c r="G1297" s="8">
        <v>59</v>
      </c>
      <c r="H1297" s="6"/>
    </row>
    <row r="1298" spans="1:8">
      <c r="A1298" s="5">
        <v>1041</v>
      </c>
      <c r="B1298" s="6" t="str">
        <f>"蒋洋洋"</f>
        <v>蒋洋洋</v>
      </c>
      <c r="C1298" s="6" t="str">
        <f t="shared" si="58"/>
        <v>女</v>
      </c>
      <c r="D1298" s="6" t="str">
        <f>"202117030911"</f>
        <v>202117030911</v>
      </c>
      <c r="E1298" s="10" t="s">
        <v>20</v>
      </c>
      <c r="F1298" s="6" t="s">
        <v>11</v>
      </c>
      <c r="G1298" s="8">
        <v>76.400000000000006</v>
      </c>
      <c r="H1298" s="6"/>
    </row>
    <row r="1299" spans="1:8">
      <c r="A1299" s="5">
        <v>1157</v>
      </c>
      <c r="B1299" s="6" t="str">
        <f>"李曼"</f>
        <v>李曼</v>
      </c>
      <c r="C1299" s="6" t="str">
        <f t="shared" si="58"/>
        <v>女</v>
      </c>
      <c r="D1299" s="6" t="str">
        <f>"202117030912"</f>
        <v>202117030912</v>
      </c>
      <c r="E1299" s="10" t="s">
        <v>20</v>
      </c>
      <c r="F1299" s="6" t="s">
        <v>11</v>
      </c>
      <c r="G1299" s="8">
        <v>62.45</v>
      </c>
      <c r="H1299" s="6"/>
    </row>
    <row r="1300" spans="1:8">
      <c r="A1300" s="5">
        <v>880</v>
      </c>
      <c r="B1300" s="6" t="str">
        <f>"王冬"</f>
        <v>王冬</v>
      </c>
      <c r="C1300" s="6" t="str">
        <f t="shared" si="58"/>
        <v>女</v>
      </c>
      <c r="D1300" s="6" t="str">
        <f>"202117030913"</f>
        <v>202117030913</v>
      </c>
      <c r="E1300" s="10" t="s">
        <v>20</v>
      </c>
      <c r="F1300" s="6" t="s">
        <v>11</v>
      </c>
      <c r="G1300" s="8">
        <v>80.599999999999994</v>
      </c>
      <c r="H1300" s="6"/>
    </row>
    <row r="1301" spans="1:8">
      <c r="A1301" s="5">
        <v>1067</v>
      </c>
      <c r="B1301" s="6" t="str">
        <f>"王玉思"</f>
        <v>王玉思</v>
      </c>
      <c r="C1301" s="6" t="str">
        <f t="shared" si="58"/>
        <v>女</v>
      </c>
      <c r="D1301" s="6" t="str">
        <f>"202117030914"</f>
        <v>202117030914</v>
      </c>
      <c r="E1301" s="10" t="s">
        <v>20</v>
      </c>
      <c r="F1301" s="6" t="s">
        <v>11</v>
      </c>
      <c r="G1301" s="8">
        <v>82.4</v>
      </c>
      <c r="H1301" s="6"/>
    </row>
    <row r="1302" spans="1:8">
      <c r="A1302" s="5">
        <v>1172</v>
      </c>
      <c r="B1302" s="6" t="str">
        <f>"吕茜"</f>
        <v>吕茜</v>
      </c>
      <c r="C1302" s="6" t="str">
        <f t="shared" si="58"/>
        <v>女</v>
      </c>
      <c r="D1302" s="6" t="str">
        <f>"202117030915"</f>
        <v>202117030915</v>
      </c>
      <c r="E1302" s="10" t="s">
        <v>20</v>
      </c>
      <c r="F1302" s="6" t="s">
        <v>11</v>
      </c>
      <c r="G1302" s="8">
        <v>77</v>
      </c>
      <c r="H1302" s="6"/>
    </row>
    <row r="1303" spans="1:8">
      <c r="A1303" s="5">
        <v>872</v>
      </c>
      <c r="B1303" s="6" t="str">
        <f>"李也"</f>
        <v>李也</v>
      </c>
      <c r="C1303" s="6" t="str">
        <f>"男"</f>
        <v>男</v>
      </c>
      <c r="D1303" s="6" t="str">
        <f>"202117030916"</f>
        <v>202117030916</v>
      </c>
      <c r="E1303" s="10" t="s">
        <v>20</v>
      </c>
      <c r="F1303" s="6" t="s">
        <v>11</v>
      </c>
      <c r="G1303" s="8">
        <v>0</v>
      </c>
      <c r="H1303" s="9">
        <v>1</v>
      </c>
    </row>
    <row r="1304" spans="1:8">
      <c r="A1304" s="5">
        <v>1029</v>
      </c>
      <c r="B1304" s="6" t="str">
        <f>"卿慧"</f>
        <v>卿慧</v>
      </c>
      <c r="C1304" s="6" t="str">
        <f t="shared" ref="C1304:C1310" si="59">"女"</f>
        <v>女</v>
      </c>
      <c r="D1304" s="6" t="str">
        <f>"202117030917"</f>
        <v>202117030917</v>
      </c>
      <c r="E1304" s="10" t="s">
        <v>20</v>
      </c>
      <c r="F1304" s="6" t="s">
        <v>11</v>
      </c>
      <c r="G1304" s="8">
        <v>75.400000000000006</v>
      </c>
      <c r="H1304" s="6"/>
    </row>
    <row r="1305" spans="1:8">
      <c r="A1305" s="5">
        <v>990</v>
      </c>
      <c r="B1305" s="6" t="str">
        <f>"唐佳丽"</f>
        <v>唐佳丽</v>
      </c>
      <c r="C1305" s="6" t="str">
        <f t="shared" si="59"/>
        <v>女</v>
      </c>
      <c r="D1305" s="6" t="str">
        <f>"202117030918"</f>
        <v>202117030918</v>
      </c>
      <c r="E1305" s="10" t="s">
        <v>20</v>
      </c>
      <c r="F1305" s="6" t="s">
        <v>11</v>
      </c>
      <c r="G1305" s="8">
        <v>87.8</v>
      </c>
      <c r="H1305" s="6"/>
    </row>
    <row r="1306" spans="1:8">
      <c r="A1306" s="5">
        <v>1171</v>
      </c>
      <c r="B1306" s="6" t="str">
        <f>"廖淑华"</f>
        <v>廖淑华</v>
      </c>
      <c r="C1306" s="6" t="str">
        <f t="shared" si="59"/>
        <v>女</v>
      </c>
      <c r="D1306" s="6" t="str">
        <f>"202117030919"</f>
        <v>202117030919</v>
      </c>
      <c r="E1306" s="10" t="s">
        <v>20</v>
      </c>
      <c r="F1306" s="6" t="s">
        <v>11</v>
      </c>
      <c r="G1306" s="8">
        <v>88.85</v>
      </c>
      <c r="H1306" s="6"/>
    </row>
    <row r="1307" spans="1:8">
      <c r="A1307" s="5">
        <v>856</v>
      </c>
      <c r="B1307" s="6" t="str">
        <f>"黄亚妮"</f>
        <v>黄亚妮</v>
      </c>
      <c r="C1307" s="6" t="str">
        <f t="shared" si="59"/>
        <v>女</v>
      </c>
      <c r="D1307" s="6" t="str">
        <f>"202117030920"</f>
        <v>202117030920</v>
      </c>
      <c r="E1307" s="10" t="s">
        <v>20</v>
      </c>
      <c r="F1307" s="6" t="s">
        <v>11</v>
      </c>
      <c r="G1307" s="8">
        <v>74.5</v>
      </c>
      <c r="H1307" s="6"/>
    </row>
    <row r="1308" spans="1:8">
      <c r="A1308" s="5">
        <v>942</v>
      </c>
      <c r="B1308" s="6" t="str">
        <f>"李沛文"</f>
        <v>李沛文</v>
      </c>
      <c r="C1308" s="6" t="str">
        <f t="shared" si="59"/>
        <v>女</v>
      </c>
      <c r="D1308" s="6" t="str">
        <f>"202117030921"</f>
        <v>202117030921</v>
      </c>
      <c r="E1308" s="10" t="s">
        <v>20</v>
      </c>
      <c r="F1308" s="6" t="s">
        <v>11</v>
      </c>
      <c r="G1308" s="8">
        <v>0</v>
      </c>
      <c r="H1308" s="9">
        <v>1</v>
      </c>
    </row>
    <row r="1309" spans="1:8">
      <c r="A1309" s="5">
        <v>1147</v>
      </c>
      <c r="B1309" s="6" t="str">
        <f>"唐倩倩"</f>
        <v>唐倩倩</v>
      </c>
      <c r="C1309" s="6" t="str">
        <f t="shared" si="59"/>
        <v>女</v>
      </c>
      <c r="D1309" s="6" t="str">
        <f>"202117030922"</f>
        <v>202117030922</v>
      </c>
      <c r="E1309" s="10" t="s">
        <v>20</v>
      </c>
      <c r="F1309" s="6" t="s">
        <v>11</v>
      </c>
      <c r="G1309" s="11">
        <v>0</v>
      </c>
      <c r="H1309" s="9">
        <v>2</v>
      </c>
    </row>
    <row r="1310" spans="1:8">
      <c r="A1310" s="5">
        <v>874</v>
      </c>
      <c r="B1310" s="6" t="str">
        <f>"王容"</f>
        <v>王容</v>
      </c>
      <c r="C1310" s="6" t="str">
        <f t="shared" si="59"/>
        <v>女</v>
      </c>
      <c r="D1310" s="6" t="str">
        <f>"202117030923"</f>
        <v>202117030923</v>
      </c>
      <c r="E1310" s="10" t="s">
        <v>20</v>
      </c>
      <c r="F1310" s="6" t="s">
        <v>11</v>
      </c>
      <c r="G1310" s="8">
        <v>0</v>
      </c>
      <c r="H1310" s="9">
        <v>1</v>
      </c>
    </row>
    <row r="1311" spans="1:8">
      <c r="A1311" s="5">
        <v>867</v>
      </c>
      <c r="B1311" s="6" t="str">
        <f>"陆文杰"</f>
        <v>陆文杰</v>
      </c>
      <c r="C1311" s="6" t="str">
        <f>"男"</f>
        <v>男</v>
      </c>
      <c r="D1311" s="6" t="str">
        <f>"202117030924"</f>
        <v>202117030924</v>
      </c>
      <c r="E1311" s="10" t="s">
        <v>20</v>
      </c>
      <c r="F1311" s="6" t="s">
        <v>11</v>
      </c>
      <c r="G1311" s="8">
        <v>93</v>
      </c>
      <c r="H1311" s="6"/>
    </row>
    <row r="1312" spans="1:8">
      <c r="A1312" s="5">
        <v>1053</v>
      </c>
      <c r="B1312" s="6" t="str">
        <f>"刘凤君"</f>
        <v>刘凤君</v>
      </c>
      <c r="C1312" s="6" t="str">
        <f t="shared" ref="C1312:C1324" si="60">"女"</f>
        <v>女</v>
      </c>
      <c r="D1312" s="6" t="str">
        <f>"202117030925"</f>
        <v>202117030925</v>
      </c>
      <c r="E1312" s="10" t="s">
        <v>20</v>
      </c>
      <c r="F1312" s="6" t="s">
        <v>11</v>
      </c>
      <c r="G1312" s="8">
        <v>58.05</v>
      </c>
      <c r="H1312" s="6"/>
    </row>
    <row r="1313" spans="1:8">
      <c r="A1313" s="5">
        <v>1050</v>
      </c>
      <c r="B1313" s="6" t="str">
        <f>"贺立垣"</f>
        <v>贺立垣</v>
      </c>
      <c r="C1313" s="6" t="str">
        <f t="shared" si="60"/>
        <v>女</v>
      </c>
      <c r="D1313" s="6" t="str">
        <f>"202117030926"</f>
        <v>202117030926</v>
      </c>
      <c r="E1313" s="10" t="s">
        <v>20</v>
      </c>
      <c r="F1313" s="6" t="s">
        <v>11</v>
      </c>
      <c r="G1313" s="8">
        <v>0</v>
      </c>
      <c r="H1313" s="9">
        <v>1</v>
      </c>
    </row>
    <row r="1314" spans="1:8">
      <c r="A1314" s="5">
        <v>1055</v>
      </c>
      <c r="B1314" s="6" t="str">
        <f>"刘志茜"</f>
        <v>刘志茜</v>
      </c>
      <c r="C1314" s="6" t="str">
        <f t="shared" si="60"/>
        <v>女</v>
      </c>
      <c r="D1314" s="6" t="str">
        <f>"202117030927"</f>
        <v>202117030927</v>
      </c>
      <c r="E1314" s="10" t="s">
        <v>20</v>
      </c>
      <c r="F1314" s="6" t="s">
        <v>11</v>
      </c>
      <c r="G1314" s="8">
        <v>53</v>
      </c>
      <c r="H1314" s="6"/>
    </row>
    <row r="1315" spans="1:8">
      <c r="A1315" s="5">
        <v>970</v>
      </c>
      <c r="B1315" s="6" t="str">
        <f>"陶然然"</f>
        <v>陶然然</v>
      </c>
      <c r="C1315" s="6" t="str">
        <f t="shared" si="60"/>
        <v>女</v>
      </c>
      <c r="D1315" s="6" t="str">
        <f>"202117030928"</f>
        <v>202117030928</v>
      </c>
      <c r="E1315" s="10" t="s">
        <v>20</v>
      </c>
      <c r="F1315" s="6" t="s">
        <v>11</v>
      </c>
      <c r="G1315" s="8">
        <v>77.7</v>
      </c>
      <c r="H1315" s="6"/>
    </row>
    <row r="1316" spans="1:8">
      <c r="A1316" s="5">
        <v>910</v>
      </c>
      <c r="B1316" s="6" t="str">
        <f>"简娜"</f>
        <v>简娜</v>
      </c>
      <c r="C1316" s="6" t="str">
        <f t="shared" si="60"/>
        <v>女</v>
      </c>
      <c r="D1316" s="6" t="str">
        <f>"202117030929"</f>
        <v>202117030929</v>
      </c>
      <c r="E1316" s="10" t="s">
        <v>20</v>
      </c>
      <c r="F1316" s="6" t="s">
        <v>11</v>
      </c>
      <c r="G1316" s="8">
        <v>76</v>
      </c>
      <c r="H1316" s="6"/>
    </row>
    <row r="1317" spans="1:8">
      <c r="A1317" s="5">
        <v>927</v>
      </c>
      <c r="B1317" s="6" t="str">
        <f>"颜小娟"</f>
        <v>颜小娟</v>
      </c>
      <c r="C1317" s="6" t="str">
        <f t="shared" si="60"/>
        <v>女</v>
      </c>
      <c r="D1317" s="6" t="str">
        <f>"202117030930"</f>
        <v>202117030930</v>
      </c>
      <c r="E1317" s="10" t="s">
        <v>20</v>
      </c>
      <c r="F1317" s="6" t="s">
        <v>11</v>
      </c>
      <c r="G1317" s="8">
        <v>89.05</v>
      </c>
      <c r="H1317" s="6"/>
    </row>
    <row r="1318" spans="1:8">
      <c r="A1318" s="5">
        <v>1060</v>
      </c>
      <c r="B1318" s="6" t="str">
        <f>"罗艳"</f>
        <v>罗艳</v>
      </c>
      <c r="C1318" s="6" t="str">
        <f t="shared" si="60"/>
        <v>女</v>
      </c>
      <c r="D1318" s="6" t="str">
        <f>"202117031001"</f>
        <v>202117031001</v>
      </c>
      <c r="E1318" s="10" t="s">
        <v>20</v>
      </c>
      <c r="F1318" s="6" t="s">
        <v>11</v>
      </c>
      <c r="G1318" s="8">
        <v>74.400000000000006</v>
      </c>
      <c r="H1318" s="6"/>
    </row>
    <row r="1319" spans="1:8">
      <c r="A1319" s="5">
        <v>1152</v>
      </c>
      <c r="B1319" s="6" t="str">
        <f>"唐梦婷"</f>
        <v>唐梦婷</v>
      </c>
      <c r="C1319" s="6" t="str">
        <f t="shared" si="60"/>
        <v>女</v>
      </c>
      <c r="D1319" s="6" t="str">
        <f>"202117031002"</f>
        <v>202117031002</v>
      </c>
      <c r="E1319" s="10" t="s">
        <v>20</v>
      </c>
      <c r="F1319" s="6" t="s">
        <v>11</v>
      </c>
      <c r="G1319" s="8">
        <v>80.400000000000006</v>
      </c>
      <c r="H1319" s="6"/>
    </row>
    <row r="1320" spans="1:8">
      <c r="A1320" s="5">
        <v>971</v>
      </c>
      <c r="B1320" s="6" t="str">
        <f>"胡玲"</f>
        <v>胡玲</v>
      </c>
      <c r="C1320" s="6" t="str">
        <f t="shared" si="60"/>
        <v>女</v>
      </c>
      <c r="D1320" s="6" t="str">
        <f>"202117031003"</f>
        <v>202117031003</v>
      </c>
      <c r="E1320" s="10" t="s">
        <v>20</v>
      </c>
      <c r="F1320" s="6" t="s">
        <v>11</v>
      </c>
      <c r="G1320" s="8">
        <v>80.400000000000006</v>
      </c>
      <c r="H1320" s="6"/>
    </row>
    <row r="1321" spans="1:8">
      <c r="A1321" s="5">
        <v>1101</v>
      </c>
      <c r="B1321" s="6" t="str">
        <f>"何路瑶"</f>
        <v>何路瑶</v>
      </c>
      <c r="C1321" s="6" t="str">
        <f t="shared" si="60"/>
        <v>女</v>
      </c>
      <c r="D1321" s="6" t="str">
        <f>"202117031004"</f>
        <v>202117031004</v>
      </c>
      <c r="E1321" s="10" t="s">
        <v>20</v>
      </c>
      <c r="F1321" s="6" t="s">
        <v>11</v>
      </c>
      <c r="G1321" s="8">
        <v>84.85</v>
      </c>
      <c r="H1321" s="6"/>
    </row>
    <row r="1322" spans="1:8">
      <c r="A1322" s="5">
        <v>1105</v>
      </c>
      <c r="B1322" s="6" t="str">
        <f>"刘媛"</f>
        <v>刘媛</v>
      </c>
      <c r="C1322" s="6" t="str">
        <f t="shared" si="60"/>
        <v>女</v>
      </c>
      <c r="D1322" s="6" t="str">
        <f>"202117031005"</f>
        <v>202117031005</v>
      </c>
      <c r="E1322" s="10" t="s">
        <v>20</v>
      </c>
      <c r="F1322" s="6" t="s">
        <v>11</v>
      </c>
      <c r="G1322" s="8">
        <v>66.25</v>
      </c>
      <c r="H1322" s="6"/>
    </row>
    <row r="1323" spans="1:8">
      <c r="A1323" s="5">
        <v>1124</v>
      </c>
      <c r="B1323" s="6" t="str">
        <f>"肖一帆"</f>
        <v>肖一帆</v>
      </c>
      <c r="C1323" s="6" t="str">
        <f t="shared" si="60"/>
        <v>女</v>
      </c>
      <c r="D1323" s="6" t="str">
        <f>"202117031006"</f>
        <v>202117031006</v>
      </c>
      <c r="E1323" s="10" t="s">
        <v>20</v>
      </c>
      <c r="F1323" s="6" t="s">
        <v>11</v>
      </c>
      <c r="G1323" s="8">
        <v>84.8</v>
      </c>
      <c r="H1323" s="6"/>
    </row>
    <row r="1324" spans="1:8">
      <c r="A1324" s="5">
        <v>922</v>
      </c>
      <c r="B1324" s="6" t="str">
        <f>"刘伟花"</f>
        <v>刘伟花</v>
      </c>
      <c r="C1324" s="6" t="str">
        <f t="shared" si="60"/>
        <v>女</v>
      </c>
      <c r="D1324" s="6" t="str">
        <f>"202117031007"</f>
        <v>202117031007</v>
      </c>
      <c r="E1324" s="10" t="s">
        <v>20</v>
      </c>
      <c r="F1324" s="6" t="s">
        <v>11</v>
      </c>
      <c r="G1324" s="8">
        <v>72.900000000000006</v>
      </c>
      <c r="H1324" s="6"/>
    </row>
    <row r="1325" spans="1:8">
      <c r="A1325" s="5">
        <v>989</v>
      </c>
      <c r="B1325" s="6" t="str">
        <f>"孟均"</f>
        <v>孟均</v>
      </c>
      <c r="C1325" s="6" t="str">
        <f>"男"</f>
        <v>男</v>
      </c>
      <c r="D1325" s="6" t="str">
        <f>"202117031008"</f>
        <v>202117031008</v>
      </c>
      <c r="E1325" s="10" t="s">
        <v>20</v>
      </c>
      <c r="F1325" s="6" t="s">
        <v>11</v>
      </c>
      <c r="G1325" s="8">
        <v>80.75</v>
      </c>
      <c r="H1325" s="6"/>
    </row>
    <row r="1326" spans="1:8">
      <c r="A1326" s="5">
        <v>1084</v>
      </c>
      <c r="B1326" s="6" t="str">
        <f>"包容"</f>
        <v>包容</v>
      </c>
      <c r="C1326" s="6" t="str">
        <f t="shared" ref="C1326:C1349" si="61">"女"</f>
        <v>女</v>
      </c>
      <c r="D1326" s="6" t="str">
        <f>"202117031009"</f>
        <v>202117031009</v>
      </c>
      <c r="E1326" s="10" t="s">
        <v>20</v>
      </c>
      <c r="F1326" s="6" t="s">
        <v>11</v>
      </c>
      <c r="G1326" s="8">
        <v>0</v>
      </c>
      <c r="H1326" s="9">
        <v>1</v>
      </c>
    </row>
    <row r="1327" spans="1:8">
      <c r="A1327" s="5">
        <v>1219</v>
      </c>
      <c r="B1327" s="6" t="str">
        <f>"刘苑春"</f>
        <v>刘苑春</v>
      </c>
      <c r="C1327" s="6" t="str">
        <f t="shared" si="61"/>
        <v>女</v>
      </c>
      <c r="D1327" s="6" t="str">
        <f>"202117031010"</f>
        <v>202117031010</v>
      </c>
      <c r="E1327" s="10" t="s">
        <v>20</v>
      </c>
      <c r="F1327" s="6" t="s">
        <v>11</v>
      </c>
      <c r="G1327" s="8">
        <v>93.75</v>
      </c>
      <c r="H1327" s="6"/>
    </row>
    <row r="1328" spans="1:8">
      <c r="A1328" s="5">
        <v>964</v>
      </c>
      <c r="B1328" s="6" t="str">
        <f>"蒋贵凤"</f>
        <v>蒋贵凤</v>
      </c>
      <c r="C1328" s="6" t="str">
        <f t="shared" si="61"/>
        <v>女</v>
      </c>
      <c r="D1328" s="6" t="str">
        <f>"202117031011"</f>
        <v>202117031011</v>
      </c>
      <c r="E1328" s="10" t="s">
        <v>20</v>
      </c>
      <c r="F1328" s="6" t="s">
        <v>11</v>
      </c>
      <c r="G1328" s="8">
        <v>0</v>
      </c>
      <c r="H1328" s="9">
        <v>1</v>
      </c>
    </row>
    <row r="1329" spans="1:8">
      <c r="A1329" s="5">
        <v>1177</v>
      </c>
      <c r="B1329" s="6" t="str">
        <f>"姚杨梅"</f>
        <v>姚杨梅</v>
      </c>
      <c r="C1329" s="6" t="str">
        <f t="shared" si="61"/>
        <v>女</v>
      </c>
      <c r="D1329" s="6" t="str">
        <f>"202117031012"</f>
        <v>202117031012</v>
      </c>
      <c r="E1329" s="10" t="s">
        <v>20</v>
      </c>
      <c r="F1329" s="6" t="s">
        <v>11</v>
      </c>
      <c r="G1329" s="8">
        <v>90.3</v>
      </c>
      <c r="H1329" s="6"/>
    </row>
    <row r="1330" spans="1:8">
      <c r="A1330" s="5">
        <v>1045</v>
      </c>
      <c r="B1330" s="6" t="str">
        <f>"李慧"</f>
        <v>李慧</v>
      </c>
      <c r="C1330" s="6" t="str">
        <f t="shared" si="61"/>
        <v>女</v>
      </c>
      <c r="D1330" s="6" t="str">
        <f>"202117031013"</f>
        <v>202117031013</v>
      </c>
      <c r="E1330" s="10" t="s">
        <v>20</v>
      </c>
      <c r="F1330" s="6" t="s">
        <v>11</v>
      </c>
      <c r="G1330" s="8">
        <v>93.05</v>
      </c>
      <c r="H1330" s="6"/>
    </row>
    <row r="1331" spans="1:8">
      <c r="A1331" s="5">
        <v>864</v>
      </c>
      <c r="B1331" s="6" t="str">
        <f>"岳婷婷"</f>
        <v>岳婷婷</v>
      </c>
      <c r="C1331" s="6" t="str">
        <f t="shared" si="61"/>
        <v>女</v>
      </c>
      <c r="D1331" s="6" t="str">
        <f>"202117031014"</f>
        <v>202117031014</v>
      </c>
      <c r="E1331" s="10" t="s">
        <v>20</v>
      </c>
      <c r="F1331" s="6" t="s">
        <v>11</v>
      </c>
      <c r="G1331" s="8">
        <v>93.5</v>
      </c>
      <c r="H1331" s="6"/>
    </row>
    <row r="1332" spans="1:8">
      <c r="A1332" s="5">
        <v>1004</v>
      </c>
      <c r="B1332" s="6" t="str">
        <f>"杨美霞"</f>
        <v>杨美霞</v>
      </c>
      <c r="C1332" s="6" t="str">
        <f t="shared" si="61"/>
        <v>女</v>
      </c>
      <c r="D1332" s="6" t="str">
        <f>"202117031015"</f>
        <v>202117031015</v>
      </c>
      <c r="E1332" s="10" t="s">
        <v>20</v>
      </c>
      <c r="F1332" s="6" t="s">
        <v>11</v>
      </c>
      <c r="G1332" s="8">
        <v>76.25</v>
      </c>
      <c r="H1332" s="6"/>
    </row>
    <row r="1333" spans="1:8">
      <c r="A1333" s="5">
        <v>911</v>
      </c>
      <c r="B1333" s="6" t="str">
        <f>"郭燕"</f>
        <v>郭燕</v>
      </c>
      <c r="C1333" s="6" t="str">
        <f t="shared" si="61"/>
        <v>女</v>
      </c>
      <c r="D1333" s="6" t="str">
        <f>"202117031016"</f>
        <v>202117031016</v>
      </c>
      <c r="E1333" s="10" t="s">
        <v>20</v>
      </c>
      <c r="F1333" s="6" t="s">
        <v>11</v>
      </c>
      <c r="G1333" s="8">
        <v>84.6</v>
      </c>
      <c r="H1333" s="6"/>
    </row>
    <row r="1334" spans="1:8">
      <c r="A1334" s="5">
        <v>924</v>
      </c>
      <c r="B1334" s="6" t="str">
        <f>"雷成龙"</f>
        <v>雷成龙</v>
      </c>
      <c r="C1334" s="6" t="str">
        <f t="shared" si="61"/>
        <v>女</v>
      </c>
      <c r="D1334" s="6" t="str">
        <f>"202117031017"</f>
        <v>202117031017</v>
      </c>
      <c r="E1334" s="10" t="s">
        <v>20</v>
      </c>
      <c r="F1334" s="6" t="s">
        <v>11</v>
      </c>
      <c r="G1334" s="8">
        <v>62.85</v>
      </c>
      <c r="H1334" s="6"/>
    </row>
    <row r="1335" spans="1:8">
      <c r="A1335" s="5">
        <v>1121</v>
      </c>
      <c r="B1335" s="6" t="str">
        <f>"贺小艳"</f>
        <v>贺小艳</v>
      </c>
      <c r="C1335" s="6" t="str">
        <f t="shared" si="61"/>
        <v>女</v>
      </c>
      <c r="D1335" s="6" t="str">
        <f>"202117031018"</f>
        <v>202117031018</v>
      </c>
      <c r="E1335" s="10" t="s">
        <v>20</v>
      </c>
      <c r="F1335" s="6" t="s">
        <v>11</v>
      </c>
      <c r="G1335" s="8">
        <v>83.85</v>
      </c>
      <c r="H1335" s="6"/>
    </row>
    <row r="1336" spans="1:8">
      <c r="A1336" s="5">
        <v>1034</v>
      </c>
      <c r="B1336" s="6" t="str">
        <f>"刘敏"</f>
        <v>刘敏</v>
      </c>
      <c r="C1336" s="6" t="str">
        <f t="shared" si="61"/>
        <v>女</v>
      </c>
      <c r="D1336" s="6" t="str">
        <f>"202117031019"</f>
        <v>202117031019</v>
      </c>
      <c r="E1336" s="10" t="s">
        <v>20</v>
      </c>
      <c r="F1336" s="6" t="s">
        <v>11</v>
      </c>
      <c r="G1336" s="8">
        <v>42.2</v>
      </c>
      <c r="H1336" s="6"/>
    </row>
    <row r="1337" spans="1:8">
      <c r="A1337" s="5">
        <v>1200</v>
      </c>
      <c r="B1337" s="6" t="str">
        <f>"于湘杰"</f>
        <v>于湘杰</v>
      </c>
      <c r="C1337" s="6" t="str">
        <f t="shared" si="61"/>
        <v>女</v>
      </c>
      <c r="D1337" s="6" t="str">
        <f>"202117031020"</f>
        <v>202117031020</v>
      </c>
      <c r="E1337" s="10" t="s">
        <v>20</v>
      </c>
      <c r="F1337" s="6" t="s">
        <v>11</v>
      </c>
      <c r="G1337" s="8">
        <v>95.75</v>
      </c>
      <c r="H1337" s="6"/>
    </row>
    <row r="1338" spans="1:8">
      <c r="A1338" s="5">
        <v>1118</v>
      </c>
      <c r="B1338" s="6" t="str">
        <f>"王璨"</f>
        <v>王璨</v>
      </c>
      <c r="C1338" s="6" t="str">
        <f t="shared" si="61"/>
        <v>女</v>
      </c>
      <c r="D1338" s="6" t="str">
        <f>"202117031021"</f>
        <v>202117031021</v>
      </c>
      <c r="E1338" s="10" t="s">
        <v>20</v>
      </c>
      <c r="F1338" s="6" t="s">
        <v>11</v>
      </c>
      <c r="G1338" s="8">
        <v>86.05</v>
      </c>
      <c r="H1338" s="6"/>
    </row>
    <row r="1339" spans="1:8">
      <c r="A1339" s="5">
        <v>886</v>
      </c>
      <c r="B1339" s="6" t="str">
        <f>"唐文成"</f>
        <v>唐文成</v>
      </c>
      <c r="C1339" s="6" t="str">
        <f t="shared" si="61"/>
        <v>女</v>
      </c>
      <c r="D1339" s="6" t="str">
        <f>"202117031022"</f>
        <v>202117031022</v>
      </c>
      <c r="E1339" s="10" t="s">
        <v>20</v>
      </c>
      <c r="F1339" s="6" t="s">
        <v>11</v>
      </c>
      <c r="G1339" s="8">
        <v>73.8</v>
      </c>
      <c r="H1339" s="6"/>
    </row>
    <row r="1340" spans="1:8">
      <c r="A1340" s="5">
        <v>1102</v>
      </c>
      <c r="B1340" s="6" t="str">
        <f>"唐敏"</f>
        <v>唐敏</v>
      </c>
      <c r="C1340" s="6" t="str">
        <f t="shared" si="61"/>
        <v>女</v>
      </c>
      <c r="D1340" s="6" t="str">
        <f>"202117031023"</f>
        <v>202117031023</v>
      </c>
      <c r="E1340" s="10" t="s">
        <v>20</v>
      </c>
      <c r="F1340" s="6" t="s">
        <v>11</v>
      </c>
      <c r="G1340" s="8">
        <v>79.05</v>
      </c>
      <c r="H1340" s="6"/>
    </row>
    <row r="1341" spans="1:8">
      <c r="A1341" s="5">
        <v>937</v>
      </c>
      <c r="B1341" s="6" t="str">
        <f>"孙海芳"</f>
        <v>孙海芳</v>
      </c>
      <c r="C1341" s="6" t="str">
        <f t="shared" si="61"/>
        <v>女</v>
      </c>
      <c r="D1341" s="6" t="str">
        <f>"202117031024"</f>
        <v>202117031024</v>
      </c>
      <c r="E1341" s="10" t="s">
        <v>20</v>
      </c>
      <c r="F1341" s="6" t="s">
        <v>11</v>
      </c>
      <c r="G1341" s="8">
        <v>56.3</v>
      </c>
      <c r="H1341" s="6"/>
    </row>
    <row r="1342" spans="1:8">
      <c r="A1342" s="5">
        <v>882</v>
      </c>
      <c r="B1342" s="6" t="str">
        <f>"彭静"</f>
        <v>彭静</v>
      </c>
      <c r="C1342" s="6" t="str">
        <f t="shared" si="61"/>
        <v>女</v>
      </c>
      <c r="D1342" s="6" t="str">
        <f>"202117031025"</f>
        <v>202117031025</v>
      </c>
      <c r="E1342" s="10" t="s">
        <v>20</v>
      </c>
      <c r="F1342" s="6" t="s">
        <v>11</v>
      </c>
      <c r="G1342" s="8">
        <v>86.8</v>
      </c>
      <c r="H1342" s="6"/>
    </row>
    <row r="1343" spans="1:8">
      <c r="A1343" s="5">
        <v>1130</v>
      </c>
      <c r="B1343" s="6" t="str">
        <f>"胡珊"</f>
        <v>胡珊</v>
      </c>
      <c r="C1343" s="6" t="str">
        <f t="shared" si="61"/>
        <v>女</v>
      </c>
      <c r="D1343" s="6" t="str">
        <f>"202117031026"</f>
        <v>202117031026</v>
      </c>
      <c r="E1343" s="10" t="s">
        <v>20</v>
      </c>
      <c r="F1343" s="6" t="s">
        <v>11</v>
      </c>
      <c r="G1343" s="8">
        <v>91.55</v>
      </c>
      <c r="H1343" s="6"/>
    </row>
    <row r="1344" spans="1:8">
      <c r="A1344" s="5">
        <v>868</v>
      </c>
      <c r="B1344" s="6" t="str">
        <f>"王艳兰"</f>
        <v>王艳兰</v>
      </c>
      <c r="C1344" s="6" t="str">
        <f t="shared" si="61"/>
        <v>女</v>
      </c>
      <c r="D1344" s="6" t="str">
        <f>"202117031027"</f>
        <v>202117031027</v>
      </c>
      <c r="E1344" s="10" t="s">
        <v>20</v>
      </c>
      <c r="F1344" s="6" t="s">
        <v>11</v>
      </c>
      <c r="G1344" s="8">
        <v>0</v>
      </c>
      <c r="H1344" s="9">
        <v>1</v>
      </c>
    </row>
    <row r="1345" spans="1:8">
      <c r="A1345" s="5">
        <v>1222</v>
      </c>
      <c r="B1345" s="6" t="str">
        <f>"马阳敏"</f>
        <v>马阳敏</v>
      </c>
      <c r="C1345" s="6" t="str">
        <f t="shared" si="61"/>
        <v>女</v>
      </c>
      <c r="D1345" s="6" t="str">
        <f>"202117031028"</f>
        <v>202117031028</v>
      </c>
      <c r="E1345" s="10" t="s">
        <v>20</v>
      </c>
      <c r="F1345" s="6" t="s">
        <v>11</v>
      </c>
      <c r="G1345" s="8">
        <v>66.55</v>
      </c>
      <c r="H1345" s="6"/>
    </row>
    <row r="1346" spans="1:8">
      <c r="A1346" s="5">
        <v>889</v>
      </c>
      <c r="B1346" s="6" t="str">
        <f>"艾美琴"</f>
        <v>艾美琴</v>
      </c>
      <c r="C1346" s="6" t="str">
        <f t="shared" si="61"/>
        <v>女</v>
      </c>
      <c r="D1346" s="6" t="str">
        <f>"202117031029"</f>
        <v>202117031029</v>
      </c>
      <c r="E1346" s="10" t="s">
        <v>20</v>
      </c>
      <c r="F1346" s="6" t="s">
        <v>11</v>
      </c>
      <c r="G1346" s="8">
        <v>69</v>
      </c>
      <c r="H1346" s="6"/>
    </row>
    <row r="1347" spans="1:8">
      <c r="A1347" s="5">
        <v>1014</v>
      </c>
      <c r="B1347" s="6" t="str">
        <f>"袁倩"</f>
        <v>袁倩</v>
      </c>
      <c r="C1347" s="6" t="str">
        <f t="shared" si="61"/>
        <v>女</v>
      </c>
      <c r="D1347" s="6" t="str">
        <f>"202117031030"</f>
        <v>202117031030</v>
      </c>
      <c r="E1347" s="10" t="s">
        <v>20</v>
      </c>
      <c r="F1347" s="6" t="s">
        <v>11</v>
      </c>
      <c r="G1347" s="8">
        <v>74.2</v>
      </c>
      <c r="H1347" s="6"/>
    </row>
    <row r="1348" spans="1:8">
      <c r="A1348" s="5">
        <v>876</v>
      </c>
      <c r="B1348" s="6" t="str">
        <f>"伍轩云"</f>
        <v>伍轩云</v>
      </c>
      <c r="C1348" s="6" t="str">
        <f t="shared" si="61"/>
        <v>女</v>
      </c>
      <c r="D1348" s="6" t="str">
        <f>"202117031101"</f>
        <v>202117031101</v>
      </c>
      <c r="E1348" s="10" t="s">
        <v>20</v>
      </c>
      <c r="F1348" s="6" t="s">
        <v>11</v>
      </c>
      <c r="G1348" s="8">
        <v>60.4</v>
      </c>
      <c r="H1348" s="6"/>
    </row>
    <row r="1349" spans="1:8">
      <c r="A1349" s="5">
        <v>1090</v>
      </c>
      <c r="B1349" s="6" t="str">
        <f>"刘红娟"</f>
        <v>刘红娟</v>
      </c>
      <c r="C1349" s="6" t="str">
        <f t="shared" si="61"/>
        <v>女</v>
      </c>
      <c r="D1349" s="6" t="str">
        <f>"202117031102"</f>
        <v>202117031102</v>
      </c>
      <c r="E1349" s="10" t="s">
        <v>20</v>
      </c>
      <c r="F1349" s="6" t="s">
        <v>11</v>
      </c>
      <c r="G1349" s="8">
        <v>70.2</v>
      </c>
      <c r="H1349" s="6"/>
    </row>
    <row r="1350" spans="1:8">
      <c r="A1350" s="5">
        <v>1079</v>
      </c>
      <c r="B1350" s="6" t="str">
        <f>"刘礼源"</f>
        <v>刘礼源</v>
      </c>
      <c r="C1350" s="6" t="str">
        <f>"男"</f>
        <v>男</v>
      </c>
      <c r="D1350" s="6" t="str">
        <f>"202117031103"</f>
        <v>202117031103</v>
      </c>
      <c r="E1350" s="10" t="s">
        <v>20</v>
      </c>
      <c r="F1350" s="6" t="s">
        <v>11</v>
      </c>
      <c r="G1350" s="8">
        <v>75.849999999999994</v>
      </c>
      <c r="H1350" s="6"/>
    </row>
    <row r="1351" spans="1:8">
      <c r="A1351" s="5">
        <v>1192</v>
      </c>
      <c r="B1351" s="6" t="str">
        <f>"刘银钰"</f>
        <v>刘银钰</v>
      </c>
      <c r="C1351" s="6" t="str">
        <f>"女"</f>
        <v>女</v>
      </c>
      <c r="D1351" s="6" t="str">
        <f>"202117031104"</f>
        <v>202117031104</v>
      </c>
      <c r="E1351" s="10" t="s">
        <v>20</v>
      </c>
      <c r="F1351" s="6" t="s">
        <v>11</v>
      </c>
      <c r="G1351" s="8">
        <v>71.7</v>
      </c>
      <c r="H1351" s="6"/>
    </row>
    <row r="1352" spans="1:8">
      <c r="A1352" s="5">
        <v>1155</v>
      </c>
      <c r="B1352" s="6" t="str">
        <f>"唐思梦"</f>
        <v>唐思梦</v>
      </c>
      <c r="C1352" s="6" t="str">
        <f>"女"</f>
        <v>女</v>
      </c>
      <c r="D1352" s="6" t="str">
        <f>"202117031105"</f>
        <v>202117031105</v>
      </c>
      <c r="E1352" s="10" t="s">
        <v>20</v>
      </c>
      <c r="F1352" s="6" t="s">
        <v>11</v>
      </c>
      <c r="G1352" s="8">
        <v>83.4</v>
      </c>
      <c r="H1352" s="6"/>
    </row>
    <row r="1353" spans="1:8">
      <c r="A1353" s="5">
        <v>1027</v>
      </c>
      <c r="B1353" s="6" t="str">
        <f>"刘菲菲"</f>
        <v>刘菲菲</v>
      </c>
      <c r="C1353" s="6" t="str">
        <f>"女"</f>
        <v>女</v>
      </c>
      <c r="D1353" s="6" t="str">
        <f>"202117031106"</f>
        <v>202117031106</v>
      </c>
      <c r="E1353" s="10" t="s">
        <v>20</v>
      </c>
      <c r="F1353" s="6" t="s">
        <v>11</v>
      </c>
      <c r="G1353" s="8">
        <v>86.55</v>
      </c>
      <c r="H1353" s="6"/>
    </row>
    <row r="1354" spans="1:8">
      <c r="A1354" s="5">
        <v>1003</v>
      </c>
      <c r="B1354" s="6" t="str">
        <f>"周榆榴"</f>
        <v>周榆榴</v>
      </c>
      <c r="C1354" s="6" t="str">
        <f>"女"</f>
        <v>女</v>
      </c>
      <c r="D1354" s="6" t="str">
        <f>"202117031107"</f>
        <v>202117031107</v>
      </c>
      <c r="E1354" s="10" t="s">
        <v>20</v>
      </c>
      <c r="F1354" s="6" t="s">
        <v>11</v>
      </c>
      <c r="G1354" s="8">
        <v>88</v>
      </c>
      <c r="H1354" s="6"/>
    </row>
    <row r="1355" spans="1:8">
      <c r="A1355" s="5">
        <v>1123</v>
      </c>
      <c r="B1355" s="6" t="str">
        <f>"朱玲"</f>
        <v>朱玲</v>
      </c>
      <c r="C1355" s="6" t="str">
        <f>"女"</f>
        <v>女</v>
      </c>
      <c r="D1355" s="6" t="str">
        <f>"202117031108"</f>
        <v>202117031108</v>
      </c>
      <c r="E1355" s="10" t="s">
        <v>20</v>
      </c>
      <c r="F1355" s="6" t="s">
        <v>11</v>
      </c>
      <c r="G1355" s="8">
        <v>77.8</v>
      </c>
      <c r="H1355" s="6"/>
    </row>
    <row r="1356" spans="1:8">
      <c r="A1356" s="5">
        <v>1096</v>
      </c>
      <c r="B1356" s="6" t="str">
        <f>"刘志祥"</f>
        <v>刘志祥</v>
      </c>
      <c r="C1356" s="6" t="str">
        <f>"男"</f>
        <v>男</v>
      </c>
      <c r="D1356" s="6" t="str">
        <f>"202117031109"</f>
        <v>202117031109</v>
      </c>
      <c r="E1356" s="10" t="s">
        <v>20</v>
      </c>
      <c r="F1356" s="6" t="s">
        <v>11</v>
      </c>
      <c r="G1356" s="8">
        <v>67.400000000000006</v>
      </c>
      <c r="H1356" s="6"/>
    </row>
    <row r="1357" spans="1:8">
      <c r="A1357" s="5">
        <v>1201</v>
      </c>
      <c r="B1357" s="6" t="str">
        <f>"周飞"</f>
        <v>周飞</v>
      </c>
      <c r="C1357" s="6" t="str">
        <f t="shared" ref="C1357:C1362" si="62">"女"</f>
        <v>女</v>
      </c>
      <c r="D1357" s="6" t="str">
        <f>"202117031110"</f>
        <v>202117031110</v>
      </c>
      <c r="E1357" s="10" t="s">
        <v>20</v>
      </c>
      <c r="F1357" s="6" t="s">
        <v>11</v>
      </c>
      <c r="G1357" s="8">
        <v>80.900000000000006</v>
      </c>
      <c r="H1357" s="6"/>
    </row>
    <row r="1358" spans="1:8">
      <c r="A1358" s="5">
        <v>1072</v>
      </c>
      <c r="B1358" s="6" t="str">
        <f>"付婵娟"</f>
        <v>付婵娟</v>
      </c>
      <c r="C1358" s="6" t="str">
        <f t="shared" si="62"/>
        <v>女</v>
      </c>
      <c r="D1358" s="6" t="str">
        <f>"202117031111"</f>
        <v>202117031111</v>
      </c>
      <c r="E1358" s="10" t="s">
        <v>20</v>
      </c>
      <c r="F1358" s="6" t="s">
        <v>11</v>
      </c>
      <c r="G1358" s="8">
        <v>82.6</v>
      </c>
      <c r="H1358" s="6"/>
    </row>
    <row r="1359" spans="1:8">
      <c r="A1359" s="5">
        <v>947</v>
      </c>
      <c r="B1359" s="6" t="str">
        <f>"赵金凤"</f>
        <v>赵金凤</v>
      </c>
      <c r="C1359" s="6" t="str">
        <f t="shared" si="62"/>
        <v>女</v>
      </c>
      <c r="D1359" s="6" t="str">
        <f>"202117031112"</f>
        <v>202117031112</v>
      </c>
      <c r="E1359" s="10" t="s">
        <v>20</v>
      </c>
      <c r="F1359" s="6" t="s">
        <v>11</v>
      </c>
      <c r="G1359" s="8">
        <v>76.099999999999994</v>
      </c>
      <c r="H1359" s="6"/>
    </row>
    <row r="1360" spans="1:8">
      <c r="A1360" s="5">
        <v>1089</v>
      </c>
      <c r="B1360" s="6" t="str">
        <f>"李灿"</f>
        <v>李灿</v>
      </c>
      <c r="C1360" s="6" t="str">
        <f t="shared" si="62"/>
        <v>女</v>
      </c>
      <c r="D1360" s="6" t="str">
        <f>"202117031113"</f>
        <v>202117031113</v>
      </c>
      <c r="E1360" s="10" t="s">
        <v>20</v>
      </c>
      <c r="F1360" s="6" t="s">
        <v>11</v>
      </c>
      <c r="G1360" s="8">
        <v>83.8</v>
      </c>
      <c r="H1360" s="6"/>
    </row>
    <row r="1361" spans="1:8">
      <c r="A1361" s="5">
        <v>1229</v>
      </c>
      <c r="B1361" s="6" t="str">
        <f>"彭冰"</f>
        <v>彭冰</v>
      </c>
      <c r="C1361" s="6" t="str">
        <f t="shared" si="62"/>
        <v>女</v>
      </c>
      <c r="D1361" s="6" t="str">
        <f>"202117031114"</f>
        <v>202117031114</v>
      </c>
      <c r="E1361" s="10" t="s">
        <v>20</v>
      </c>
      <c r="F1361" s="6" t="s">
        <v>11</v>
      </c>
      <c r="G1361" s="8">
        <v>78.900000000000006</v>
      </c>
      <c r="H1361" s="6"/>
    </row>
    <row r="1362" spans="1:8">
      <c r="A1362" s="5">
        <v>1179</v>
      </c>
      <c r="B1362" s="6" t="str">
        <f>"唐佳萱"</f>
        <v>唐佳萱</v>
      </c>
      <c r="C1362" s="6" t="str">
        <f t="shared" si="62"/>
        <v>女</v>
      </c>
      <c r="D1362" s="6" t="str">
        <f>"202117031115"</f>
        <v>202117031115</v>
      </c>
      <c r="E1362" s="10" t="s">
        <v>20</v>
      </c>
      <c r="F1362" s="6" t="s">
        <v>11</v>
      </c>
      <c r="G1362" s="8">
        <v>77.45</v>
      </c>
      <c r="H1362" s="6"/>
    </row>
    <row r="1363" spans="1:8">
      <c r="A1363" s="5">
        <v>1143</v>
      </c>
      <c r="B1363" s="6" t="str">
        <f>"游函谕"</f>
        <v>游函谕</v>
      </c>
      <c r="C1363" s="6" t="str">
        <f>"男"</f>
        <v>男</v>
      </c>
      <c r="D1363" s="6" t="str">
        <f>"202117031116"</f>
        <v>202117031116</v>
      </c>
      <c r="E1363" s="10" t="s">
        <v>20</v>
      </c>
      <c r="F1363" s="6" t="s">
        <v>11</v>
      </c>
      <c r="G1363" s="8">
        <v>52.05</v>
      </c>
      <c r="H1363" s="6"/>
    </row>
    <row r="1364" spans="1:8">
      <c r="A1364" s="5">
        <v>1135</v>
      </c>
      <c r="B1364" s="6" t="str">
        <f>"凌小菊"</f>
        <v>凌小菊</v>
      </c>
      <c r="C1364" s="6" t="str">
        <f>"女"</f>
        <v>女</v>
      </c>
      <c r="D1364" s="6" t="str">
        <f>"202117031117"</f>
        <v>202117031117</v>
      </c>
      <c r="E1364" s="10" t="s">
        <v>20</v>
      </c>
      <c r="F1364" s="6" t="s">
        <v>11</v>
      </c>
      <c r="G1364" s="8">
        <v>87.55</v>
      </c>
      <c r="H1364" s="6"/>
    </row>
    <row r="1365" spans="1:8">
      <c r="A1365" s="5">
        <v>1100</v>
      </c>
      <c r="B1365" s="6" t="str">
        <f>"余程远"</f>
        <v>余程远</v>
      </c>
      <c r="C1365" s="6" t="str">
        <f>"男"</f>
        <v>男</v>
      </c>
      <c r="D1365" s="6" t="str">
        <f>"202117031118"</f>
        <v>202117031118</v>
      </c>
      <c r="E1365" s="10" t="s">
        <v>20</v>
      </c>
      <c r="F1365" s="6" t="s">
        <v>11</v>
      </c>
      <c r="G1365" s="8">
        <v>83.1</v>
      </c>
      <c r="H1365" s="6"/>
    </row>
    <row r="1366" spans="1:8">
      <c r="A1366" s="5">
        <v>1107</v>
      </c>
      <c r="B1366" s="6" t="str">
        <f>"唐波"</f>
        <v>唐波</v>
      </c>
      <c r="C1366" s="6" t="str">
        <f>"男"</f>
        <v>男</v>
      </c>
      <c r="D1366" s="6" t="str">
        <f>"202117031119"</f>
        <v>202117031119</v>
      </c>
      <c r="E1366" s="10" t="s">
        <v>20</v>
      </c>
      <c r="F1366" s="6" t="s">
        <v>11</v>
      </c>
      <c r="G1366" s="8">
        <v>0</v>
      </c>
      <c r="H1366" s="9">
        <v>1</v>
      </c>
    </row>
    <row r="1367" spans="1:8">
      <c r="A1367" s="5">
        <v>1024</v>
      </c>
      <c r="B1367" s="6" t="str">
        <f>"廖巧巧"</f>
        <v>廖巧巧</v>
      </c>
      <c r="C1367" s="6" t="str">
        <f>"女"</f>
        <v>女</v>
      </c>
      <c r="D1367" s="6" t="str">
        <f>"202117031120"</f>
        <v>202117031120</v>
      </c>
      <c r="E1367" s="10" t="s">
        <v>20</v>
      </c>
      <c r="F1367" s="6" t="s">
        <v>11</v>
      </c>
      <c r="G1367" s="8">
        <v>0</v>
      </c>
      <c r="H1367" s="9">
        <v>1</v>
      </c>
    </row>
    <row r="1368" spans="1:8">
      <c r="A1368" s="5">
        <v>1125</v>
      </c>
      <c r="B1368" s="6" t="str">
        <f>"杨淇"</f>
        <v>杨淇</v>
      </c>
      <c r="C1368" s="6" t="str">
        <f>"女"</f>
        <v>女</v>
      </c>
      <c r="D1368" s="6" t="str">
        <f>"202117031121"</f>
        <v>202117031121</v>
      </c>
      <c r="E1368" s="10" t="s">
        <v>20</v>
      </c>
      <c r="F1368" s="6" t="s">
        <v>11</v>
      </c>
      <c r="G1368" s="8">
        <v>88.8</v>
      </c>
      <c r="H1368" s="6"/>
    </row>
    <row r="1369" spans="1:8">
      <c r="A1369" s="5">
        <v>1169</v>
      </c>
      <c r="B1369" s="6" t="str">
        <f>"李二男"</f>
        <v>李二男</v>
      </c>
      <c r="C1369" s="6" t="str">
        <f>"男"</f>
        <v>男</v>
      </c>
      <c r="D1369" s="6" t="str">
        <f>"202117031122"</f>
        <v>202117031122</v>
      </c>
      <c r="E1369" s="10" t="s">
        <v>20</v>
      </c>
      <c r="F1369" s="6" t="s">
        <v>11</v>
      </c>
      <c r="G1369" s="8">
        <v>86.8</v>
      </c>
      <c r="H1369" s="6"/>
    </row>
    <row r="1370" spans="1:8">
      <c r="A1370" s="5">
        <v>985</v>
      </c>
      <c r="B1370" s="6" t="str">
        <f>"刘林焕"</f>
        <v>刘林焕</v>
      </c>
      <c r="C1370" s="6" t="str">
        <f>"男"</f>
        <v>男</v>
      </c>
      <c r="D1370" s="6" t="str">
        <f>"202117031123"</f>
        <v>202117031123</v>
      </c>
      <c r="E1370" s="10" t="s">
        <v>20</v>
      </c>
      <c r="F1370" s="6" t="s">
        <v>11</v>
      </c>
      <c r="G1370" s="8">
        <v>90.75</v>
      </c>
      <c r="H1370" s="6"/>
    </row>
    <row r="1371" spans="1:8">
      <c r="A1371" s="5">
        <v>974</v>
      </c>
      <c r="B1371" s="6" t="str">
        <f>"吴向阳"</f>
        <v>吴向阳</v>
      </c>
      <c r="C1371" s="6" t="str">
        <f>"女"</f>
        <v>女</v>
      </c>
      <c r="D1371" s="6" t="str">
        <f>"202117031124"</f>
        <v>202117031124</v>
      </c>
      <c r="E1371" s="10" t="s">
        <v>20</v>
      </c>
      <c r="F1371" s="6" t="s">
        <v>11</v>
      </c>
      <c r="G1371" s="8">
        <v>86.05</v>
      </c>
      <c r="H1371" s="6"/>
    </row>
    <row r="1372" spans="1:8">
      <c r="A1372" s="5">
        <v>1204</v>
      </c>
      <c r="B1372" s="6" t="str">
        <f>"谢海艳"</f>
        <v>谢海艳</v>
      </c>
      <c r="C1372" s="6" t="str">
        <f>"女"</f>
        <v>女</v>
      </c>
      <c r="D1372" s="6" t="str">
        <f>"202117031125"</f>
        <v>202117031125</v>
      </c>
      <c r="E1372" s="10" t="s">
        <v>20</v>
      </c>
      <c r="F1372" s="6" t="s">
        <v>11</v>
      </c>
      <c r="G1372" s="8">
        <v>90.8</v>
      </c>
      <c r="H1372" s="6"/>
    </row>
    <row r="1373" spans="1:8">
      <c r="A1373" s="5">
        <v>883</v>
      </c>
      <c r="B1373" s="6" t="str">
        <f>"刘江云"</f>
        <v>刘江云</v>
      </c>
      <c r="C1373" s="6" t="str">
        <f>"女"</f>
        <v>女</v>
      </c>
      <c r="D1373" s="6" t="str">
        <f>"202117031126"</f>
        <v>202117031126</v>
      </c>
      <c r="E1373" s="10" t="s">
        <v>20</v>
      </c>
      <c r="F1373" s="6" t="s">
        <v>11</v>
      </c>
      <c r="G1373" s="8">
        <v>80.099999999999994</v>
      </c>
      <c r="H1373" s="6"/>
    </row>
    <row r="1374" spans="1:8">
      <c r="A1374" s="5">
        <v>1075</v>
      </c>
      <c r="B1374" s="6" t="str">
        <f>"唐云雷"</f>
        <v>唐云雷</v>
      </c>
      <c r="C1374" s="6" t="str">
        <f>"女"</f>
        <v>女</v>
      </c>
      <c r="D1374" s="6" t="str">
        <f>"202117031127"</f>
        <v>202117031127</v>
      </c>
      <c r="E1374" s="10" t="s">
        <v>20</v>
      </c>
      <c r="F1374" s="6" t="s">
        <v>11</v>
      </c>
      <c r="G1374" s="8">
        <v>0</v>
      </c>
      <c r="H1374" s="9">
        <v>1</v>
      </c>
    </row>
    <row r="1375" spans="1:8">
      <c r="A1375" s="5">
        <v>908</v>
      </c>
      <c r="B1375" s="6" t="str">
        <f>"陶易欣"</f>
        <v>陶易欣</v>
      </c>
      <c r="C1375" s="6" t="str">
        <f>"男"</f>
        <v>男</v>
      </c>
      <c r="D1375" s="6" t="str">
        <f>"202117031128"</f>
        <v>202117031128</v>
      </c>
      <c r="E1375" s="10" t="s">
        <v>20</v>
      </c>
      <c r="F1375" s="6" t="s">
        <v>11</v>
      </c>
      <c r="G1375" s="8">
        <v>77.05</v>
      </c>
      <c r="H1375" s="6"/>
    </row>
    <row r="1376" spans="1:8">
      <c r="A1376" s="5">
        <v>1046</v>
      </c>
      <c r="B1376" s="6" t="str">
        <f>"李倩"</f>
        <v>李倩</v>
      </c>
      <c r="C1376" s="6" t="str">
        <f t="shared" ref="C1376:C1388" si="63">"女"</f>
        <v>女</v>
      </c>
      <c r="D1376" s="6" t="str">
        <f>"202117031129"</f>
        <v>202117031129</v>
      </c>
      <c r="E1376" s="10" t="s">
        <v>20</v>
      </c>
      <c r="F1376" s="6" t="s">
        <v>11</v>
      </c>
      <c r="G1376" s="8">
        <v>76.599999999999994</v>
      </c>
      <c r="H1376" s="6"/>
    </row>
    <row r="1377" spans="1:8">
      <c r="A1377" s="5">
        <v>925</v>
      </c>
      <c r="B1377" s="6" t="str">
        <f>"王晓燕"</f>
        <v>王晓燕</v>
      </c>
      <c r="C1377" s="6" t="str">
        <f t="shared" si="63"/>
        <v>女</v>
      </c>
      <c r="D1377" s="6" t="str">
        <f>"202117031130"</f>
        <v>202117031130</v>
      </c>
      <c r="E1377" s="10" t="s">
        <v>20</v>
      </c>
      <c r="F1377" s="6" t="s">
        <v>11</v>
      </c>
      <c r="G1377" s="8">
        <v>93</v>
      </c>
      <c r="H1377" s="6"/>
    </row>
    <row r="1378" spans="1:8">
      <c r="A1378" s="5">
        <v>1114</v>
      </c>
      <c r="B1378" s="6" t="str">
        <f>"刘秋"</f>
        <v>刘秋</v>
      </c>
      <c r="C1378" s="6" t="str">
        <f t="shared" si="63"/>
        <v>女</v>
      </c>
      <c r="D1378" s="6" t="str">
        <f>"202117031201"</f>
        <v>202117031201</v>
      </c>
      <c r="E1378" s="10" t="s">
        <v>20</v>
      </c>
      <c r="F1378" s="6" t="s">
        <v>11</v>
      </c>
      <c r="G1378" s="8">
        <v>91.5</v>
      </c>
      <c r="H1378" s="6"/>
    </row>
    <row r="1379" spans="1:8">
      <c r="A1379" s="5">
        <v>957</v>
      </c>
      <c r="B1379" s="6" t="str">
        <f>"颜益萍"</f>
        <v>颜益萍</v>
      </c>
      <c r="C1379" s="6" t="str">
        <f t="shared" si="63"/>
        <v>女</v>
      </c>
      <c r="D1379" s="6" t="str">
        <f>"202117031202"</f>
        <v>202117031202</v>
      </c>
      <c r="E1379" s="10" t="s">
        <v>20</v>
      </c>
      <c r="F1379" s="6" t="s">
        <v>11</v>
      </c>
      <c r="G1379" s="8">
        <v>62.25</v>
      </c>
      <c r="H1379" s="6"/>
    </row>
    <row r="1380" spans="1:8">
      <c r="A1380" s="5">
        <v>1120</v>
      </c>
      <c r="B1380" s="6" t="str">
        <f>"周智慧"</f>
        <v>周智慧</v>
      </c>
      <c r="C1380" s="6" t="str">
        <f t="shared" si="63"/>
        <v>女</v>
      </c>
      <c r="D1380" s="6" t="str">
        <f>"202117031203"</f>
        <v>202117031203</v>
      </c>
      <c r="E1380" s="10" t="s">
        <v>20</v>
      </c>
      <c r="F1380" s="6" t="s">
        <v>11</v>
      </c>
      <c r="G1380" s="8">
        <v>89</v>
      </c>
      <c r="H1380" s="6"/>
    </row>
    <row r="1381" spans="1:8">
      <c r="A1381" s="5">
        <v>1232</v>
      </c>
      <c r="B1381" s="6" t="str">
        <f>"朱玲"</f>
        <v>朱玲</v>
      </c>
      <c r="C1381" s="6" t="str">
        <f t="shared" si="63"/>
        <v>女</v>
      </c>
      <c r="D1381" s="6" t="str">
        <f>"202117031204"</f>
        <v>202117031204</v>
      </c>
      <c r="E1381" s="10" t="s">
        <v>20</v>
      </c>
      <c r="F1381" s="6" t="s">
        <v>11</v>
      </c>
      <c r="G1381" s="8">
        <v>86.25</v>
      </c>
      <c r="H1381" s="6"/>
    </row>
    <row r="1382" spans="1:8">
      <c r="A1382" s="5">
        <v>1225</v>
      </c>
      <c r="B1382" s="6" t="str">
        <f>"蒋鸿芳"</f>
        <v>蒋鸿芳</v>
      </c>
      <c r="C1382" s="6" t="str">
        <f t="shared" si="63"/>
        <v>女</v>
      </c>
      <c r="D1382" s="6" t="str">
        <f>"202117031205"</f>
        <v>202117031205</v>
      </c>
      <c r="E1382" s="10" t="s">
        <v>20</v>
      </c>
      <c r="F1382" s="6" t="s">
        <v>11</v>
      </c>
      <c r="G1382" s="8">
        <v>90.5</v>
      </c>
      <c r="H1382" s="6"/>
    </row>
    <row r="1383" spans="1:8">
      <c r="A1383" s="5">
        <v>1044</v>
      </c>
      <c r="B1383" s="6" t="str">
        <f>"石童"</f>
        <v>石童</v>
      </c>
      <c r="C1383" s="6" t="str">
        <f t="shared" si="63"/>
        <v>女</v>
      </c>
      <c r="D1383" s="6" t="str">
        <f>"202117031206"</f>
        <v>202117031206</v>
      </c>
      <c r="E1383" s="10" t="s">
        <v>20</v>
      </c>
      <c r="F1383" s="6" t="s">
        <v>11</v>
      </c>
      <c r="G1383" s="8">
        <v>80.45</v>
      </c>
      <c r="H1383" s="6"/>
    </row>
    <row r="1384" spans="1:8">
      <c r="A1384" s="5">
        <v>873</v>
      </c>
      <c r="B1384" s="6" t="str">
        <f>"周庭"</f>
        <v>周庭</v>
      </c>
      <c r="C1384" s="6" t="str">
        <f t="shared" si="63"/>
        <v>女</v>
      </c>
      <c r="D1384" s="6" t="str">
        <f>"202117031207"</f>
        <v>202117031207</v>
      </c>
      <c r="E1384" s="10" t="s">
        <v>20</v>
      </c>
      <c r="F1384" s="6" t="s">
        <v>11</v>
      </c>
      <c r="G1384" s="8">
        <v>0</v>
      </c>
      <c r="H1384" s="9">
        <v>1</v>
      </c>
    </row>
    <row r="1385" spans="1:8">
      <c r="A1385" s="5">
        <v>1005</v>
      </c>
      <c r="B1385" s="6" t="str">
        <f>"邓娇艳"</f>
        <v>邓娇艳</v>
      </c>
      <c r="C1385" s="6" t="str">
        <f t="shared" si="63"/>
        <v>女</v>
      </c>
      <c r="D1385" s="6" t="str">
        <f>"202117031208"</f>
        <v>202117031208</v>
      </c>
      <c r="E1385" s="10" t="s">
        <v>20</v>
      </c>
      <c r="F1385" s="6" t="s">
        <v>11</v>
      </c>
      <c r="G1385" s="8">
        <v>78.349999999999994</v>
      </c>
      <c r="H1385" s="6"/>
    </row>
    <row r="1386" spans="1:8">
      <c r="A1386" s="5">
        <v>1013</v>
      </c>
      <c r="B1386" s="6" t="str">
        <f>"赵永艳"</f>
        <v>赵永艳</v>
      </c>
      <c r="C1386" s="6" t="str">
        <f t="shared" si="63"/>
        <v>女</v>
      </c>
      <c r="D1386" s="6" t="str">
        <f>"202117031209"</f>
        <v>202117031209</v>
      </c>
      <c r="E1386" s="10" t="s">
        <v>20</v>
      </c>
      <c r="F1386" s="6" t="s">
        <v>11</v>
      </c>
      <c r="G1386" s="8">
        <v>90.75</v>
      </c>
      <c r="H1386" s="6"/>
    </row>
    <row r="1387" spans="1:8">
      <c r="A1387" s="5">
        <v>869</v>
      </c>
      <c r="B1387" s="6" t="str">
        <f>"周婷婷"</f>
        <v>周婷婷</v>
      </c>
      <c r="C1387" s="6" t="str">
        <f t="shared" si="63"/>
        <v>女</v>
      </c>
      <c r="D1387" s="6" t="str">
        <f>"202117031210"</f>
        <v>202117031210</v>
      </c>
      <c r="E1387" s="10" t="s">
        <v>20</v>
      </c>
      <c r="F1387" s="6" t="s">
        <v>11</v>
      </c>
      <c r="G1387" s="8">
        <v>0</v>
      </c>
      <c r="H1387" s="9">
        <v>1</v>
      </c>
    </row>
    <row r="1388" spans="1:8">
      <c r="A1388" s="5">
        <v>1188</v>
      </c>
      <c r="B1388" s="6" t="str">
        <f>"唐娟"</f>
        <v>唐娟</v>
      </c>
      <c r="C1388" s="6" t="str">
        <f t="shared" si="63"/>
        <v>女</v>
      </c>
      <c r="D1388" s="6" t="str">
        <f>"202117031211"</f>
        <v>202117031211</v>
      </c>
      <c r="E1388" s="10" t="s">
        <v>20</v>
      </c>
      <c r="F1388" s="6" t="s">
        <v>11</v>
      </c>
      <c r="G1388" s="8">
        <v>81.150000000000006</v>
      </c>
      <c r="H1388" s="6"/>
    </row>
    <row r="1389" spans="1:8">
      <c r="A1389" s="5">
        <v>1023</v>
      </c>
      <c r="B1389" s="6" t="str">
        <f>"刘众阳"</f>
        <v>刘众阳</v>
      </c>
      <c r="C1389" s="6" t="str">
        <f>"男"</f>
        <v>男</v>
      </c>
      <c r="D1389" s="6" t="str">
        <f>"202117031212"</f>
        <v>202117031212</v>
      </c>
      <c r="E1389" s="10" t="s">
        <v>20</v>
      </c>
      <c r="F1389" s="6" t="s">
        <v>11</v>
      </c>
      <c r="G1389" s="8">
        <v>77.150000000000006</v>
      </c>
      <c r="H1389" s="6"/>
    </row>
    <row r="1390" spans="1:8">
      <c r="A1390" s="5">
        <v>1061</v>
      </c>
      <c r="B1390" s="6" t="str">
        <f>"何文静"</f>
        <v>何文静</v>
      </c>
      <c r="C1390" s="6" t="str">
        <f>"女"</f>
        <v>女</v>
      </c>
      <c r="D1390" s="6" t="str">
        <f>"202117031213"</f>
        <v>202117031213</v>
      </c>
      <c r="E1390" s="10" t="s">
        <v>20</v>
      </c>
      <c r="F1390" s="6" t="s">
        <v>11</v>
      </c>
      <c r="G1390" s="8">
        <v>80.400000000000006</v>
      </c>
      <c r="H1390" s="6"/>
    </row>
    <row r="1391" spans="1:8">
      <c r="A1391" s="5">
        <v>1220</v>
      </c>
      <c r="B1391" s="6" t="str">
        <f>"李红英"</f>
        <v>李红英</v>
      </c>
      <c r="C1391" s="6" t="str">
        <f>"女"</f>
        <v>女</v>
      </c>
      <c r="D1391" s="6" t="str">
        <f>"202117031214"</f>
        <v>202117031214</v>
      </c>
      <c r="E1391" s="10" t="s">
        <v>20</v>
      </c>
      <c r="F1391" s="6" t="s">
        <v>11</v>
      </c>
      <c r="G1391" s="8">
        <v>66.849999999999994</v>
      </c>
      <c r="H1391" s="6"/>
    </row>
    <row r="1392" spans="1:8">
      <c r="A1392" s="5">
        <v>907</v>
      </c>
      <c r="B1392" s="6" t="str">
        <f>"李娜"</f>
        <v>李娜</v>
      </c>
      <c r="C1392" s="6" t="str">
        <f>"女"</f>
        <v>女</v>
      </c>
      <c r="D1392" s="6" t="str">
        <f>"202117031215"</f>
        <v>202117031215</v>
      </c>
      <c r="E1392" s="10" t="s">
        <v>20</v>
      </c>
      <c r="F1392" s="6" t="s">
        <v>11</v>
      </c>
      <c r="G1392" s="8">
        <v>82.15</v>
      </c>
      <c r="H1392" s="6"/>
    </row>
    <row r="1393" spans="1:8">
      <c r="A1393" s="5">
        <v>865</v>
      </c>
      <c r="B1393" s="6" t="str">
        <f>"周江洪"</f>
        <v>周江洪</v>
      </c>
      <c r="C1393" s="6" t="str">
        <f>"男"</f>
        <v>男</v>
      </c>
      <c r="D1393" s="6" t="str">
        <f>"202117031216"</f>
        <v>202117031216</v>
      </c>
      <c r="E1393" s="10" t="s">
        <v>20</v>
      </c>
      <c r="F1393" s="6" t="s">
        <v>11</v>
      </c>
      <c r="G1393" s="8">
        <v>0</v>
      </c>
      <c r="H1393" s="9">
        <v>1</v>
      </c>
    </row>
    <row r="1394" spans="1:8">
      <c r="A1394" s="5">
        <v>998</v>
      </c>
      <c r="B1394" s="6" t="str">
        <f>"彭显阳"</f>
        <v>彭显阳</v>
      </c>
      <c r="C1394" s="6" t="str">
        <f>"男"</f>
        <v>男</v>
      </c>
      <c r="D1394" s="6" t="str">
        <f>"202117031217"</f>
        <v>202117031217</v>
      </c>
      <c r="E1394" s="10" t="s">
        <v>20</v>
      </c>
      <c r="F1394" s="6" t="s">
        <v>11</v>
      </c>
      <c r="G1394" s="8">
        <v>77.849999999999994</v>
      </c>
      <c r="H1394" s="6"/>
    </row>
    <row r="1395" spans="1:8">
      <c r="A1395" s="5">
        <v>1086</v>
      </c>
      <c r="B1395" s="6" t="str">
        <f>"肖琼"</f>
        <v>肖琼</v>
      </c>
      <c r="C1395" s="6" t="str">
        <f>"女"</f>
        <v>女</v>
      </c>
      <c r="D1395" s="6" t="str">
        <f>"202117031218"</f>
        <v>202117031218</v>
      </c>
      <c r="E1395" s="10" t="s">
        <v>20</v>
      </c>
      <c r="F1395" s="6" t="s">
        <v>11</v>
      </c>
      <c r="G1395" s="8">
        <v>80.900000000000006</v>
      </c>
      <c r="H1395" s="6"/>
    </row>
    <row r="1396" spans="1:8">
      <c r="A1396" s="5">
        <v>1181</v>
      </c>
      <c r="B1396" s="6" t="str">
        <f>"邓诗月"</f>
        <v>邓诗月</v>
      </c>
      <c r="C1396" s="6" t="str">
        <f>"男"</f>
        <v>男</v>
      </c>
      <c r="D1396" s="6" t="str">
        <f>"202117031219"</f>
        <v>202117031219</v>
      </c>
      <c r="E1396" s="10" t="s">
        <v>20</v>
      </c>
      <c r="F1396" s="6" t="s">
        <v>11</v>
      </c>
      <c r="G1396" s="8">
        <v>69.95</v>
      </c>
      <c r="H1396" s="6"/>
    </row>
    <row r="1397" spans="1:8">
      <c r="A1397" s="5">
        <v>1227</v>
      </c>
      <c r="B1397" s="6" t="str">
        <f>"李文卫"</f>
        <v>李文卫</v>
      </c>
      <c r="C1397" s="6" t="str">
        <f>"女"</f>
        <v>女</v>
      </c>
      <c r="D1397" s="6" t="str">
        <f>"202117031220"</f>
        <v>202117031220</v>
      </c>
      <c r="E1397" s="10" t="s">
        <v>20</v>
      </c>
      <c r="F1397" s="6" t="s">
        <v>11</v>
      </c>
      <c r="G1397" s="8">
        <v>89.8</v>
      </c>
      <c r="H1397" s="6"/>
    </row>
    <row r="1398" spans="1:8">
      <c r="A1398" s="5">
        <v>992</v>
      </c>
      <c r="B1398" s="6" t="str">
        <f>"彭铮铮"</f>
        <v>彭铮铮</v>
      </c>
      <c r="C1398" s="6" t="str">
        <f>"男"</f>
        <v>男</v>
      </c>
      <c r="D1398" s="6" t="str">
        <f>"202117031221"</f>
        <v>202117031221</v>
      </c>
      <c r="E1398" s="10" t="s">
        <v>20</v>
      </c>
      <c r="F1398" s="6" t="s">
        <v>11</v>
      </c>
      <c r="G1398" s="8">
        <v>80.95</v>
      </c>
      <c r="H1398" s="6"/>
    </row>
    <row r="1399" spans="1:8">
      <c r="A1399" s="5">
        <v>1122</v>
      </c>
      <c r="B1399" s="6" t="str">
        <f>"李梅"</f>
        <v>李梅</v>
      </c>
      <c r="C1399" s="6" t="str">
        <f t="shared" ref="C1399:C1414" si="64">"女"</f>
        <v>女</v>
      </c>
      <c r="D1399" s="6" t="str">
        <f>"202117031222"</f>
        <v>202117031222</v>
      </c>
      <c r="E1399" s="10" t="s">
        <v>20</v>
      </c>
      <c r="F1399" s="6" t="s">
        <v>11</v>
      </c>
      <c r="G1399" s="8">
        <v>66.55</v>
      </c>
      <c r="H1399" s="6"/>
    </row>
    <row r="1400" spans="1:8">
      <c r="A1400" s="5">
        <v>1097</v>
      </c>
      <c r="B1400" s="6" t="str">
        <f>"毛毳"</f>
        <v>毛毳</v>
      </c>
      <c r="C1400" s="6" t="str">
        <f t="shared" si="64"/>
        <v>女</v>
      </c>
      <c r="D1400" s="6" t="str">
        <f>"202117031223"</f>
        <v>202117031223</v>
      </c>
      <c r="E1400" s="10" t="s">
        <v>20</v>
      </c>
      <c r="F1400" s="6" t="s">
        <v>11</v>
      </c>
      <c r="G1400" s="8">
        <v>0</v>
      </c>
      <c r="H1400" s="9">
        <v>1</v>
      </c>
    </row>
    <row r="1401" spans="1:8">
      <c r="A1401" s="5">
        <v>855</v>
      </c>
      <c r="B1401" s="6" t="str">
        <f>"覃翠竹"</f>
        <v>覃翠竹</v>
      </c>
      <c r="C1401" s="6" t="str">
        <f t="shared" si="64"/>
        <v>女</v>
      </c>
      <c r="D1401" s="6" t="str">
        <f>"202117031224"</f>
        <v>202117031224</v>
      </c>
      <c r="E1401" s="10" t="s">
        <v>20</v>
      </c>
      <c r="F1401" s="6" t="s">
        <v>11</v>
      </c>
      <c r="G1401" s="8">
        <v>88.3</v>
      </c>
      <c r="H1401" s="6"/>
    </row>
    <row r="1402" spans="1:8">
      <c r="A1402" s="5">
        <v>963</v>
      </c>
      <c r="B1402" s="6" t="str">
        <f>"刘秀玲"</f>
        <v>刘秀玲</v>
      </c>
      <c r="C1402" s="6" t="str">
        <f t="shared" si="64"/>
        <v>女</v>
      </c>
      <c r="D1402" s="6" t="str">
        <f>"202117031225"</f>
        <v>202117031225</v>
      </c>
      <c r="E1402" s="10" t="s">
        <v>20</v>
      </c>
      <c r="F1402" s="6" t="s">
        <v>11</v>
      </c>
      <c r="G1402" s="8">
        <v>0</v>
      </c>
      <c r="H1402" s="9">
        <v>1</v>
      </c>
    </row>
    <row r="1403" spans="1:8">
      <c r="A1403" s="5">
        <v>1078</v>
      </c>
      <c r="B1403" s="6" t="str">
        <f>"孙颖"</f>
        <v>孙颖</v>
      </c>
      <c r="C1403" s="6" t="str">
        <f t="shared" si="64"/>
        <v>女</v>
      </c>
      <c r="D1403" s="6" t="str">
        <f>"202117031226"</f>
        <v>202117031226</v>
      </c>
      <c r="E1403" s="10" t="s">
        <v>20</v>
      </c>
      <c r="F1403" s="6" t="s">
        <v>11</v>
      </c>
      <c r="G1403" s="8">
        <v>77.25</v>
      </c>
      <c r="H1403" s="6"/>
    </row>
    <row r="1404" spans="1:8">
      <c r="A1404" s="5">
        <v>1015</v>
      </c>
      <c r="B1404" s="6" t="str">
        <f>"王媛"</f>
        <v>王媛</v>
      </c>
      <c r="C1404" s="6" t="str">
        <f t="shared" si="64"/>
        <v>女</v>
      </c>
      <c r="D1404" s="6" t="str">
        <f>"202117031227"</f>
        <v>202117031227</v>
      </c>
      <c r="E1404" s="10" t="s">
        <v>20</v>
      </c>
      <c r="F1404" s="6" t="s">
        <v>11</v>
      </c>
      <c r="G1404" s="8">
        <v>94.5</v>
      </c>
      <c r="H1404" s="6"/>
    </row>
    <row r="1405" spans="1:8">
      <c r="A1405" s="5">
        <v>1021</v>
      </c>
      <c r="B1405" s="6" t="str">
        <f>"彭嘉琪"</f>
        <v>彭嘉琪</v>
      </c>
      <c r="C1405" s="6" t="str">
        <f t="shared" si="64"/>
        <v>女</v>
      </c>
      <c r="D1405" s="6" t="str">
        <f>"202117031228"</f>
        <v>202117031228</v>
      </c>
      <c r="E1405" s="10" t="s">
        <v>20</v>
      </c>
      <c r="F1405" s="6" t="s">
        <v>11</v>
      </c>
      <c r="G1405" s="8">
        <v>58.3</v>
      </c>
      <c r="H1405" s="6"/>
    </row>
    <row r="1406" spans="1:8">
      <c r="A1406" s="5">
        <v>1002</v>
      </c>
      <c r="B1406" s="6" t="str">
        <f>"龙金"</f>
        <v>龙金</v>
      </c>
      <c r="C1406" s="6" t="str">
        <f t="shared" si="64"/>
        <v>女</v>
      </c>
      <c r="D1406" s="6" t="str">
        <f>"202117031229"</f>
        <v>202117031229</v>
      </c>
      <c r="E1406" s="10" t="s">
        <v>20</v>
      </c>
      <c r="F1406" s="6" t="s">
        <v>11</v>
      </c>
      <c r="G1406" s="8">
        <v>79.400000000000006</v>
      </c>
      <c r="H1406" s="6"/>
    </row>
    <row r="1407" spans="1:8">
      <c r="A1407" s="5">
        <v>862</v>
      </c>
      <c r="B1407" s="6" t="str">
        <f>"刘小贞"</f>
        <v>刘小贞</v>
      </c>
      <c r="C1407" s="6" t="str">
        <f t="shared" si="64"/>
        <v>女</v>
      </c>
      <c r="D1407" s="6" t="str">
        <f>"202117031230"</f>
        <v>202117031230</v>
      </c>
      <c r="E1407" s="10" t="s">
        <v>20</v>
      </c>
      <c r="F1407" s="6" t="s">
        <v>11</v>
      </c>
      <c r="G1407" s="8">
        <v>0</v>
      </c>
      <c r="H1407" s="9">
        <v>1</v>
      </c>
    </row>
    <row r="1408" spans="1:8">
      <c r="A1408" s="5">
        <v>1103</v>
      </c>
      <c r="B1408" s="6" t="str">
        <f>"周荻香"</f>
        <v>周荻香</v>
      </c>
      <c r="C1408" s="6" t="str">
        <f t="shared" si="64"/>
        <v>女</v>
      </c>
      <c r="D1408" s="6" t="str">
        <f>"202117031301"</f>
        <v>202117031301</v>
      </c>
      <c r="E1408" s="10" t="s">
        <v>20</v>
      </c>
      <c r="F1408" s="6" t="s">
        <v>11</v>
      </c>
      <c r="G1408" s="8">
        <v>96</v>
      </c>
      <c r="H1408" s="6"/>
    </row>
    <row r="1409" spans="1:8">
      <c r="A1409" s="5">
        <v>965</v>
      </c>
      <c r="B1409" s="6" t="str">
        <f>"彭立娜"</f>
        <v>彭立娜</v>
      </c>
      <c r="C1409" s="6" t="str">
        <f t="shared" si="64"/>
        <v>女</v>
      </c>
      <c r="D1409" s="6" t="str">
        <f>"202117031302"</f>
        <v>202117031302</v>
      </c>
      <c r="E1409" s="10" t="s">
        <v>20</v>
      </c>
      <c r="F1409" s="6" t="s">
        <v>11</v>
      </c>
      <c r="G1409" s="8">
        <v>60.55</v>
      </c>
      <c r="H1409" s="6"/>
    </row>
    <row r="1410" spans="1:8">
      <c r="A1410" s="5">
        <v>1082</v>
      </c>
      <c r="B1410" s="6" t="str">
        <f>"庞菲"</f>
        <v>庞菲</v>
      </c>
      <c r="C1410" s="6" t="str">
        <f t="shared" si="64"/>
        <v>女</v>
      </c>
      <c r="D1410" s="6" t="str">
        <f>"202117031303"</f>
        <v>202117031303</v>
      </c>
      <c r="E1410" s="10" t="s">
        <v>20</v>
      </c>
      <c r="F1410" s="6" t="s">
        <v>11</v>
      </c>
      <c r="G1410" s="8">
        <v>85.85</v>
      </c>
      <c r="H1410" s="6"/>
    </row>
    <row r="1411" spans="1:8">
      <c r="A1411" s="5">
        <v>1148</v>
      </c>
      <c r="B1411" s="6" t="str">
        <f>"卢珈米"</f>
        <v>卢珈米</v>
      </c>
      <c r="C1411" s="6" t="str">
        <f t="shared" si="64"/>
        <v>女</v>
      </c>
      <c r="D1411" s="6" t="str">
        <f>"202117031304"</f>
        <v>202117031304</v>
      </c>
      <c r="E1411" s="10" t="s">
        <v>20</v>
      </c>
      <c r="F1411" s="6" t="s">
        <v>11</v>
      </c>
      <c r="G1411" s="8">
        <v>73.400000000000006</v>
      </c>
      <c r="H1411" s="6"/>
    </row>
    <row r="1412" spans="1:8">
      <c r="A1412" s="5">
        <v>1094</v>
      </c>
      <c r="B1412" s="6" t="str">
        <f>"黄清"</f>
        <v>黄清</v>
      </c>
      <c r="C1412" s="6" t="str">
        <f t="shared" si="64"/>
        <v>女</v>
      </c>
      <c r="D1412" s="6" t="str">
        <f>"202117031305"</f>
        <v>202117031305</v>
      </c>
      <c r="E1412" s="10" t="s">
        <v>20</v>
      </c>
      <c r="F1412" s="6" t="s">
        <v>11</v>
      </c>
      <c r="G1412" s="8">
        <v>77.7</v>
      </c>
      <c r="H1412" s="6"/>
    </row>
    <row r="1413" spans="1:8">
      <c r="A1413" s="5">
        <v>881</v>
      </c>
      <c r="B1413" s="6" t="str">
        <f>"曾湘仪"</f>
        <v>曾湘仪</v>
      </c>
      <c r="C1413" s="6" t="str">
        <f t="shared" si="64"/>
        <v>女</v>
      </c>
      <c r="D1413" s="6" t="str">
        <f>"202117031306"</f>
        <v>202117031306</v>
      </c>
      <c r="E1413" s="10" t="s">
        <v>20</v>
      </c>
      <c r="F1413" s="6" t="s">
        <v>11</v>
      </c>
      <c r="G1413" s="8">
        <v>79.150000000000006</v>
      </c>
      <c r="H1413" s="6"/>
    </row>
    <row r="1414" spans="1:8">
      <c r="A1414" s="5">
        <v>1197</v>
      </c>
      <c r="B1414" s="6" t="str">
        <f>"石茂林"</f>
        <v>石茂林</v>
      </c>
      <c r="C1414" s="6" t="str">
        <f t="shared" si="64"/>
        <v>女</v>
      </c>
      <c r="D1414" s="6" t="str">
        <f>"202117031307"</f>
        <v>202117031307</v>
      </c>
      <c r="E1414" s="10" t="s">
        <v>20</v>
      </c>
      <c r="F1414" s="6" t="s">
        <v>11</v>
      </c>
      <c r="G1414" s="8">
        <v>91.3</v>
      </c>
      <c r="H1414" s="6"/>
    </row>
    <row r="1415" spans="1:8">
      <c r="A1415" s="5">
        <v>1031</v>
      </c>
      <c r="B1415" s="6" t="str">
        <f>"龙中伟"</f>
        <v>龙中伟</v>
      </c>
      <c r="C1415" s="6" t="str">
        <f>"男"</f>
        <v>男</v>
      </c>
      <c r="D1415" s="6" t="str">
        <f>"202117031308"</f>
        <v>202117031308</v>
      </c>
      <c r="E1415" s="10" t="s">
        <v>20</v>
      </c>
      <c r="F1415" s="6" t="s">
        <v>11</v>
      </c>
      <c r="G1415" s="8">
        <v>83.15</v>
      </c>
      <c r="H1415" s="6"/>
    </row>
    <row r="1416" spans="1:8">
      <c r="A1416" s="5">
        <v>877</v>
      </c>
      <c r="B1416" s="6" t="str">
        <f>"刘慧"</f>
        <v>刘慧</v>
      </c>
      <c r="C1416" s="6" t="str">
        <f t="shared" ref="C1416:C1441" si="65">"女"</f>
        <v>女</v>
      </c>
      <c r="D1416" s="6" t="str">
        <f>"202117031309"</f>
        <v>202117031309</v>
      </c>
      <c r="E1416" s="10" t="s">
        <v>20</v>
      </c>
      <c r="F1416" s="6" t="s">
        <v>11</v>
      </c>
      <c r="G1416" s="8">
        <v>0</v>
      </c>
      <c r="H1416" s="9">
        <v>1</v>
      </c>
    </row>
    <row r="1417" spans="1:8">
      <c r="A1417" s="5">
        <v>1091</v>
      </c>
      <c r="B1417" s="6" t="str">
        <f>"岳柳余"</f>
        <v>岳柳余</v>
      </c>
      <c r="C1417" s="6" t="str">
        <f t="shared" si="65"/>
        <v>女</v>
      </c>
      <c r="D1417" s="6" t="str">
        <f>"202117031310"</f>
        <v>202117031310</v>
      </c>
      <c r="E1417" s="10" t="s">
        <v>20</v>
      </c>
      <c r="F1417" s="6" t="s">
        <v>11</v>
      </c>
      <c r="G1417" s="8">
        <v>84.55</v>
      </c>
      <c r="H1417" s="6"/>
    </row>
    <row r="1418" spans="1:8">
      <c r="A1418" s="5">
        <v>1185</v>
      </c>
      <c r="B1418" s="6" t="str">
        <f>"阳婷"</f>
        <v>阳婷</v>
      </c>
      <c r="C1418" s="6" t="str">
        <f t="shared" si="65"/>
        <v>女</v>
      </c>
      <c r="D1418" s="6" t="str">
        <f>"202117031311"</f>
        <v>202117031311</v>
      </c>
      <c r="E1418" s="10" t="s">
        <v>20</v>
      </c>
      <c r="F1418" s="6" t="s">
        <v>11</v>
      </c>
      <c r="G1418" s="8">
        <v>61.45</v>
      </c>
      <c r="H1418" s="6"/>
    </row>
    <row r="1419" spans="1:8">
      <c r="A1419" s="5">
        <v>977</v>
      </c>
      <c r="B1419" s="6" t="str">
        <f>"黄琪琦"</f>
        <v>黄琪琦</v>
      </c>
      <c r="C1419" s="6" t="str">
        <f t="shared" si="65"/>
        <v>女</v>
      </c>
      <c r="D1419" s="6" t="str">
        <f>"202117031312"</f>
        <v>202117031312</v>
      </c>
      <c r="E1419" s="10" t="s">
        <v>20</v>
      </c>
      <c r="F1419" s="6" t="s">
        <v>11</v>
      </c>
      <c r="G1419" s="8">
        <v>0</v>
      </c>
      <c r="H1419" s="9">
        <v>1</v>
      </c>
    </row>
    <row r="1420" spans="1:8">
      <c r="A1420" s="5">
        <v>1133</v>
      </c>
      <c r="B1420" s="6" t="str">
        <f>"周秀月"</f>
        <v>周秀月</v>
      </c>
      <c r="C1420" s="6" t="str">
        <f t="shared" si="65"/>
        <v>女</v>
      </c>
      <c r="D1420" s="6" t="str">
        <f>"202117031313"</f>
        <v>202117031313</v>
      </c>
      <c r="E1420" s="10" t="s">
        <v>20</v>
      </c>
      <c r="F1420" s="6" t="s">
        <v>11</v>
      </c>
      <c r="G1420" s="8">
        <v>0</v>
      </c>
      <c r="H1420" s="9">
        <v>1</v>
      </c>
    </row>
    <row r="1421" spans="1:8">
      <c r="A1421" s="5">
        <v>1208</v>
      </c>
      <c r="B1421" s="6" t="str">
        <f>"胡怡敏"</f>
        <v>胡怡敏</v>
      </c>
      <c r="C1421" s="6" t="str">
        <f t="shared" si="65"/>
        <v>女</v>
      </c>
      <c r="D1421" s="6" t="str">
        <f>"202117031314"</f>
        <v>202117031314</v>
      </c>
      <c r="E1421" s="10" t="s">
        <v>20</v>
      </c>
      <c r="F1421" s="6" t="s">
        <v>11</v>
      </c>
      <c r="G1421" s="8">
        <v>70.599999999999994</v>
      </c>
      <c r="H1421" s="6"/>
    </row>
    <row r="1422" spans="1:8">
      <c r="A1422" s="5">
        <v>1153</v>
      </c>
      <c r="B1422" s="6" t="str">
        <f>"阮楚凤"</f>
        <v>阮楚凤</v>
      </c>
      <c r="C1422" s="6" t="str">
        <f t="shared" si="65"/>
        <v>女</v>
      </c>
      <c r="D1422" s="6" t="str">
        <f>"202117031315"</f>
        <v>202117031315</v>
      </c>
      <c r="E1422" s="10" t="s">
        <v>20</v>
      </c>
      <c r="F1422" s="6" t="s">
        <v>11</v>
      </c>
      <c r="G1422" s="8">
        <v>65.849999999999994</v>
      </c>
      <c r="H1422" s="6"/>
    </row>
    <row r="1423" spans="1:8">
      <c r="A1423" s="5">
        <v>1141</v>
      </c>
      <c r="B1423" s="6" t="str">
        <f>"向秋莉"</f>
        <v>向秋莉</v>
      </c>
      <c r="C1423" s="6" t="str">
        <f t="shared" si="65"/>
        <v>女</v>
      </c>
      <c r="D1423" s="6" t="str">
        <f>"202117031316"</f>
        <v>202117031316</v>
      </c>
      <c r="E1423" s="10" t="s">
        <v>20</v>
      </c>
      <c r="F1423" s="6" t="s">
        <v>11</v>
      </c>
      <c r="G1423" s="8">
        <v>72.400000000000006</v>
      </c>
      <c r="H1423" s="6"/>
    </row>
    <row r="1424" spans="1:8">
      <c r="A1424" s="5">
        <v>1032</v>
      </c>
      <c r="B1424" s="6" t="str">
        <f>"罗聪聪"</f>
        <v>罗聪聪</v>
      </c>
      <c r="C1424" s="6" t="str">
        <f t="shared" si="65"/>
        <v>女</v>
      </c>
      <c r="D1424" s="6" t="str">
        <f>"202117031317"</f>
        <v>202117031317</v>
      </c>
      <c r="E1424" s="10" t="s">
        <v>20</v>
      </c>
      <c r="F1424" s="6" t="s">
        <v>11</v>
      </c>
      <c r="G1424" s="8">
        <v>91</v>
      </c>
      <c r="H1424" s="6"/>
    </row>
    <row r="1425" spans="1:8">
      <c r="A1425" s="5">
        <v>897</v>
      </c>
      <c r="B1425" s="6" t="str">
        <f>"周慧姝"</f>
        <v>周慧姝</v>
      </c>
      <c r="C1425" s="6" t="str">
        <f t="shared" si="65"/>
        <v>女</v>
      </c>
      <c r="D1425" s="6" t="str">
        <f>"202117031318"</f>
        <v>202117031318</v>
      </c>
      <c r="E1425" s="10" t="s">
        <v>20</v>
      </c>
      <c r="F1425" s="6" t="s">
        <v>11</v>
      </c>
      <c r="G1425" s="8">
        <v>80.25</v>
      </c>
      <c r="H1425" s="6"/>
    </row>
    <row r="1426" spans="1:8">
      <c r="A1426" s="5">
        <v>1116</v>
      </c>
      <c r="B1426" s="6" t="str">
        <f>"肖璇"</f>
        <v>肖璇</v>
      </c>
      <c r="C1426" s="6" t="str">
        <f t="shared" si="65"/>
        <v>女</v>
      </c>
      <c r="D1426" s="6" t="str">
        <f>"202117031319"</f>
        <v>202117031319</v>
      </c>
      <c r="E1426" s="10" t="s">
        <v>20</v>
      </c>
      <c r="F1426" s="6" t="s">
        <v>11</v>
      </c>
      <c r="G1426" s="8">
        <v>0</v>
      </c>
      <c r="H1426" s="9">
        <v>1</v>
      </c>
    </row>
    <row r="1427" spans="1:8">
      <c r="A1427" s="5">
        <v>1069</v>
      </c>
      <c r="B1427" s="6" t="str">
        <f>"谭美娟"</f>
        <v>谭美娟</v>
      </c>
      <c r="C1427" s="6" t="str">
        <f t="shared" si="65"/>
        <v>女</v>
      </c>
      <c r="D1427" s="6" t="str">
        <f>"202117031320"</f>
        <v>202117031320</v>
      </c>
      <c r="E1427" s="10" t="s">
        <v>20</v>
      </c>
      <c r="F1427" s="6" t="s">
        <v>11</v>
      </c>
      <c r="G1427" s="8">
        <v>54.35</v>
      </c>
      <c r="H1427" s="6"/>
    </row>
    <row r="1428" spans="1:8">
      <c r="A1428" s="5">
        <v>891</v>
      </c>
      <c r="B1428" s="6" t="str">
        <f>"刘琳"</f>
        <v>刘琳</v>
      </c>
      <c r="C1428" s="6" t="str">
        <f t="shared" si="65"/>
        <v>女</v>
      </c>
      <c r="D1428" s="6" t="str">
        <f>"202117031321"</f>
        <v>202117031321</v>
      </c>
      <c r="E1428" s="10" t="s">
        <v>20</v>
      </c>
      <c r="F1428" s="6" t="s">
        <v>11</v>
      </c>
      <c r="G1428" s="8">
        <v>85.3</v>
      </c>
      <c r="H1428" s="6"/>
    </row>
    <row r="1429" spans="1:8">
      <c r="A1429" s="5">
        <v>1217</v>
      </c>
      <c r="B1429" s="6" t="str">
        <f>"黄思凤"</f>
        <v>黄思凤</v>
      </c>
      <c r="C1429" s="6" t="str">
        <f t="shared" si="65"/>
        <v>女</v>
      </c>
      <c r="D1429" s="6" t="str">
        <f>"202117031322"</f>
        <v>202117031322</v>
      </c>
      <c r="E1429" s="10" t="s">
        <v>20</v>
      </c>
      <c r="F1429" s="6" t="s">
        <v>11</v>
      </c>
      <c r="G1429" s="8">
        <v>69.150000000000006</v>
      </c>
      <c r="H1429" s="6"/>
    </row>
    <row r="1430" spans="1:8">
      <c r="A1430" s="5">
        <v>1343</v>
      </c>
      <c r="B1430" s="6" t="str">
        <f>"李娴"</f>
        <v>李娴</v>
      </c>
      <c r="C1430" s="6" t="str">
        <f t="shared" si="65"/>
        <v>女</v>
      </c>
      <c r="D1430" s="6" t="str">
        <f>"202118031323"</f>
        <v>202118031323</v>
      </c>
      <c r="E1430" s="10" t="s">
        <v>20</v>
      </c>
      <c r="F1430" s="6" t="s">
        <v>12</v>
      </c>
      <c r="G1430" s="8">
        <v>54.3</v>
      </c>
      <c r="H1430" s="6"/>
    </row>
    <row r="1431" spans="1:8">
      <c r="A1431" s="5">
        <v>1239</v>
      </c>
      <c r="B1431" s="6" t="str">
        <f>"蒋玲慧"</f>
        <v>蒋玲慧</v>
      </c>
      <c r="C1431" s="6" t="str">
        <f t="shared" si="65"/>
        <v>女</v>
      </c>
      <c r="D1431" s="6" t="str">
        <f>"202118031324"</f>
        <v>202118031324</v>
      </c>
      <c r="E1431" s="10" t="s">
        <v>20</v>
      </c>
      <c r="F1431" s="6" t="s">
        <v>12</v>
      </c>
      <c r="G1431" s="8">
        <v>0</v>
      </c>
      <c r="H1431" s="9">
        <v>1</v>
      </c>
    </row>
    <row r="1432" spans="1:8">
      <c r="A1432" s="5">
        <v>1279</v>
      </c>
      <c r="B1432" s="6" t="str">
        <f>"王秋惠"</f>
        <v>王秋惠</v>
      </c>
      <c r="C1432" s="6" t="str">
        <f t="shared" si="65"/>
        <v>女</v>
      </c>
      <c r="D1432" s="6" t="str">
        <f>"202118031325"</f>
        <v>202118031325</v>
      </c>
      <c r="E1432" s="10" t="s">
        <v>20</v>
      </c>
      <c r="F1432" s="6" t="s">
        <v>12</v>
      </c>
      <c r="G1432" s="8">
        <v>0</v>
      </c>
      <c r="H1432" s="9">
        <v>1</v>
      </c>
    </row>
    <row r="1433" spans="1:8">
      <c r="A1433" s="5">
        <v>1284</v>
      </c>
      <c r="B1433" s="6" t="str">
        <f>"邓含希"</f>
        <v>邓含希</v>
      </c>
      <c r="C1433" s="6" t="str">
        <f t="shared" si="65"/>
        <v>女</v>
      </c>
      <c r="D1433" s="6" t="str">
        <f>"202118031326"</f>
        <v>202118031326</v>
      </c>
      <c r="E1433" s="10" t="s">
        <v>20</v>
      </c>
      <c r="F1433" s="6" t="s">
        <v>12</v>
      </c>
      <c r="G1433" s="8">
        <v>81.25</v>
      </c>
      <c r="H1433" s="6"/>
    </row>
    <row r="1434" spans="1:8">
      <c r="A1434" s="5">
        <v>1300</v>
      </c>
      <c r="B1434" s="6" t="str">
        <f>"吴茜"</f>
        <v>吴茜</v>
      </c>
      <c r="C1434" s="6" t="str">
        <f t="shared" si="65"/>
        <v>女</v>
      </c>
      <c r="D1434" s="6" t="str">
        <f>"202118031327"</f>
        <v>202118031327</v>
      </c>
      <c r="E1434" s="10" t="s">
        <v>20</v>
      </c>
      <c r="F1434" s="6" t="s">
        <v>12</v>
      </c>
      <c r="G1434" s="8">
        <v>59.55</v>
      </c>
      <c r="H1434" s="6"/>
    </row>
    <row r="1435" spans="1:8">
      <c r="A1435" s="5">
        <v>1245</v>
      </c>
      <c r="B1435" s="6" t="str">
        <f>"陆泉池"</f>
        <v>陆泉池</v>
      </c>
      <c r="C1435" s="6" t="str">
        <f t="shared" si="65"/>
        <v>女</v>
      </c>
      <c r="D1435" s="6" t="str">
        <f>"202118031328"</f>
        <v>202118031328</v>
      </c>
      <c r="E1435" s="10" t="s">
        <v>20</v>
      </c>
      <c r="F1435" s="6" t="s">
        <v>12</v>
      </c>
      <c r="G1435" s="8">
        <v>59.45</v>
      </c>
      <c r="H1435" s="6"/>
    </row>
    <row r="1436" spans="1:8">
      <c r="A1436" s="5">
        <v>1331</v>
      </c>
      <c r="B1436" s="6" t="str">
        <f>"王海霖"</f>
        <v>王海霖</v>
      </c>
      <c r="C1436" s="6" t="str">
        <f t="shared" si="65"/>
        <v>女</v>
      </c>
      <c r="D1436" s="6" t="str">
        <f>"202118031329"</f>
        <v>202118031329</v>
      </c>
      <c r="E1436" s="10" t="s">
        <v>20</v>
      </c>
      <c r="F1436" s="6" t="s">
        <v>12</v>
      </c>
      <c r="G1436" s="8">
        <v>83.8</v>
      </c>
      <c r="H1436" s="6"/>
    </row>
    <row r="1437" spans="1:8">
      <c r="A1437" s="5">
        <v>1256</v>
      </c>
      <c r="B1437" s="6" t="str">
        <f>"王蕾"</f>
        <v>王蕾</v>
      </c>
      <c r="C1437" s="6" t="str">
        <f t="shared" si="65"/>
        <v>女</v>
      </c>
      <c r="D1437" s="6" t="str">
        <f>"202118031330"</f>
        <v>202118031330</v>
      </c>
      <c r="E1437" s="10" t="s">
        <v>20</v>
      </c>
      <c r="F1437" s="6" t="s">
        <v>12</v>
      </c>
      <c r="G1437" s="8">
        <v>63.15</v>
      </c>
      <c r="H1437" s="6"/>
    </row>
    <row r="1438" spans="1:8">
      <c r="A1438" s="5">
        <v>1280</v>
      </c>
      <c r="B1438" s="6" t="str">
        <f>"王玉文"</f>
        <v>王玉文</v>
      </c>
      <c r="C1438" s="6" t="str">
        <f t="shared" si="65"/>
        <v>女</v>
      </c>
      <c r="D1438" s="6" t="str">
        <f>"202118031401"</f>
        <v>202118031401</v>
      </c>
      <c r="E1438" s="10" t="s">
        <v>20</v>
      </c>
      <c r="F1438" s="6" t="s">
        <v>12</v>
      </c>
      <c r="G1438" s="8">
        <v>81.8</v>
      </c>
      <c r="H1438" s="6"/>
    </row>
    <row r="1439" spans="1:8">
      <c r="A1439" s="5">
        <v>1235</v>
      </c>
      <c r="B1439" s="6" t="str">
        <f>"廖及佳"</f>
        <v>廖及佳</v>
      </c>
      <c r="C1439" s="6" t="str">
        <f t="shared" si="65"/>
        <v>女</v>
      </c>
      <c r="D1439" s="6" t="str">
        <f>"202118031402"</f>
        <v>202118031402</v>
      </c>
      <c r="E1439" s="10" t="s">
        <v>20</v>
      </c>
      <c r="F1439" s="6" t="s">
        <v>12</v>
      </c>
      <c r="G1439" s="8">
        <v>0</v>
      </c>
      <c r="H1439" s="9">
        <v>1</v>
      </c>
    </row>
    <row r="1440" spans="1:8">
      <c r="A1440" s="5">
        <v>1287</v>
      </c>
      <c r="B1440" s="6" t="str">
        <f>"陈慧珍"</f>
        <v>陈慧珍</v>
      </c>
      <c r="C1440" s="6" t="str">
        <f t="shared" si="65"/>
        <v>女</v>
      </c>
      <c r="D1440" s="6" t="str">
        <f>"202118031403"</f>
        <v>202118031403</v>
      </c>
      <c r="E1440" s="10" t="s">
        <v>20</v>
      </c>
      <c r="F1440" s="6" t="s">
        <v>12</v>
      </c>
      <c r="G1440" s="8">
        <v>73.849999999999994</v>
      </c>
      <c r="H1440" s="6"/>
    </row>
    <row r="1441" spans="1:8">
      <c r="A1441" s="5">
        <v>1328</v>
      </c>
      <c r="B1441" s="6" t="str">
        <f>"刘思琦"</f>
        <v>刘思琦</v>
      </c>
      <c r="C1441" s="6" t="str">
        <f t="shared" si="65"/>
        <v>女</v>
      </c>
      <c r="D1441" s="6" t="str">
        <f>"202118031404"</f>
        <v>202118031404</v>
      </c>
      <c r="E1441" s="10" t="s">
        <v>20</v>
      </c>
      <c r="F1441" s="6" t="s">
        <v>12</v>
      </c>
      <c r="G1441" s="8">
        <v>87.05</v>
      </c>
      <c r="H1441" s="6"/>
    </row>
    <row r="1442" spans="1:8">
      <c r="A1442" s="5">
        <v>1304</v>
      </c>
      <c r="B1442" s="6" t="str">
        <f>"杨敏"</f>
        <v>杨敏</v>
      </c>
      <c r="C1442" s="6" t="str">
        <f>"男"</f>
        <v>男</v>
      </c>
      <c r="D1442" s="6" t="str">
        <f>"202118031405"</f>
        <v>202118031405</v>
      </c>
      <c r="E1442" s="10" t="s">
        <v>20</v>
      </c>
      <c r="F1442" s="6" t="s">
        <v>12</v>
      </c>
      <c r="G1442" s="8">
        <v>89.5</v>
      </c>
      <c r="H1442" s="6"/>
    </row>
    <row r="1443" spans="1:8">
      <c r="A1443" s="5">
        <v>1342</v>
      </c>
      <c r="B1443" s="6" t="str">
        <f>"彭攀"</f>
        <v>彭攀</v>
      </c>
      <c r="C1443" s="6" t="str">
        <f t="shared" ref="C1443:C1448" si="66">"女"</f>
        <v>女</v>
      </c>
      <c r="D1443" s="6" t="str">
        <f>"202118031406"</f>
        <v>202118031406</v>
      </c>
      <c r="E1443" s="10" t="s">
        <v>20</v>
      </c>
      <c r="F1443" s="6" t="s">
        <v>12</v>
      </c>
      <c r="G1443" s="8">
        <v>68.25</v>
      </c>
      <c r="H1443" s="6"/>
    </row>
    <row r="1444" spans="1:8">
      <c r="A1444" s="5">
        <v>1334</v>
      </c>
      <c r="B1444" s="6" t="str">
        <f>"范悦"</f>
        <v>范悦</v>
      </c>
      <c r="C1444" s="6" t="str">
        <f t="shared" si="66"/>
        <v>女</v>
      </c>
      <c r="D1444" s="6" t="str">
        <f>"202118031407"</f>
        <v>202118031407</v>
      </c>
      <c r="E1444" s="10" t="s">
        <v>20</v>
      </c>
      <c r="F1444" s="6" t="s">
        <v>12</v>
      </c>
      <c r="G1444" s="8">
        <v>89.55</v>
      </c>
      <c r="H1444" s="6"/>
    </row>
    <row r="1445" spans="1:8">
      <c r="A1445" s="5">
        <v>1339</v>
      </c>
      <c r="B1445" s="6" t="str">
        <f>"田艳婷"</f>
        <v>田艳婷</v>
      </c>
      <c r="C1445" s="6" t="str">
        <f t="shared" si="66"/>
        <v>女</v>
      </c>
      <c r="D1445" s="6" t="str">
        <f>"202118031408"</f>
        <v>202118031408</v>
      </c>
      <c r="E1445" s="10" t="s">
        <v>20</v>
      </c>
      <c r="F1445" s="6" t="s">
        <v>12</v>
      </c>
      <c r="G1445" s="8">
        <v>48</v>
      </c>
      <c r="H1445" s="6"/>
    </row>
    <row r="1446" spans="1:8">
      <c r="A1446" s="5">
        <v>1233</v>
      </c>
      <c r="B1446" s="6" t="str">
        <f>"邹佳妮"</f>
        <v>邹佳妮</v>
      </c>
      <c r="C1446" s="6" t="str">
        <f t="shared" si="66"/>
        <v>女</v>
      </c>
      <c r="D1446" s="6" t="str">
        <f>"202118031409"</f>
        <v>202118031409</v>
      </c>
      <c r="E1446" s="10" t="s">
        <v>20</v>
      </c>
      <c r="F1446" s="6" t="s">
        <v>12</v>
      </c>
      <c r="G1446" s="8">
        <v>0</v>
      </c>
      <c r="H1446" s="9">
        <v>1</v>
      </c>
    </row>
    <row r="1447" spans="1:8">
      <c r="A1447" s="5">
        <v>1248</v>
      </c>
      <c r="B1447" s="6" t="str">
        <f>"肖阿美"</f>
        <v>肖阿美</v>
      </c>
      <c r="C1447" s="6" t="str">
        <f t="shared" si="66"/>
        <v>女</v>
      </c>
      <c r="D1447" s="6" t="str">
        <f>"202118031410"</f>
        <v>202118031410</v>
      </c>
      <c r="E1447" s="10" t="s">
        <v>20</v>
      </c>
      <c r="F1447" s="6" t="s">
        <v>12</v>
      </c>
      <c r="G1447" s="8">
        <v>89.55</v>
      </c>
      <c r="H1447" s="6"/>
    </row>
    <row r="1448" spans="1:8">
      <c r="A1448" s="5">
        <v>1251</v>
      </c>
      <c r="B1448" s="6" t="str">
        <f>"何娟"</f>
        <v>何娟</v>
      </c>
      <c r="C1448" s="6" t="str">
        <f t="shared" si="66"/>
        <v>女</v>
      </c>
      <c r="D1448" s="6" t="str">
        <f>"202118031411"</f>
        <v>202118031411</v>
      </c>
      <c r="E1448" s="10" t="s">
        <v>20</v>
      </c>
      <c r="F1448" s="6" t="s">
        <v>12</v>
      </c>
      <c r="G1448" s="8">
        <v>87.8</v>
      </c>
      <c r="H1448" s="6"/>
    </row>
    <row r="1449" spans="1:8">
      <c r="A1449" s="5">
        <v>1306</v>
      </c>
      <c r="B1449" s="6" t="str">
        <f>"谭斌成"</f>
        <v>谭斌成</v>
      </c>
      <c r="C1449" s="6" t="str">
        <f>"男"</f>
        <v>男</v>
      </c>
      <c r="D1449" s="6" t="str">
        <f>"202118031412"</f>
        <v>202118031412</v>
      </c>
      <c r="E1449" s="10" t="s">
        <v>20</v>
      </c>
      <c r="F1449" s="6" t="s">
        <v>12</v>
      </c>
      <c r="G1449" s="8">
        <v>73.650000000000006</v>
      </c>
      <c r="H1449" s="6"/>
    </row>
    <row r="1450" spans="1:8">
      <c r="A1450" s="5">
        <v>1273</v>
      </c>
      <c r="B1450" s="6" t="str">
        <f>"莫唯一"</f>
        <v>莫唯一</v>
      </c>
      <c r="C1450" s="6" t="str">
        <f>"女"</f>
        <v>女</v>
      </c>
      <c r="D1450" s="6" t="str">
        <f>"202118031413"</f>
        <v>202118031413</v>
      </c>
      <c r="E1450" s="10" t="s">
        <v>20</v>
      </c>
      <c r="F1450" s="6" t="s">
        <v>12</v>
      </c>
      <c r="G1450" s="8">
        <v>0</v>
      </c>
      <c r="H1450" s="9">
        <v>1</v>
      </c>
    </row>
    <row r="1451" spans="1:8">
      <c r="A1451" s="5">
        <v>1290</v>
      </c>
      <c r="B1451" s="6" t="str">
        <f>"严诗洁"</f>
        <v>严诗洁</v>
      </c>
      <c r="C1451" s="6" t="str">
        <f>"女"</f>
        <v>女</v>
      </c>
      <c r="D1451" s="6" t="str">
        <f>"202118031414"</f>
        <v>202118031414</v>
      </c>
      <c r="E1451" s="10" t="s">
        <v>20</v>
      </c>
      <c r="F1451" s="6" t="s">
        <v>12</v>
      </c>
      <c r="G1451" s="8">
        <v>90.3</v>
      </c>
      <c r="H1451" s="6"/>
    </row>
    <row r="1452" spans="1:8">
      <c r="A1452" s="5">
        <v>1249</v>
      </c>
      <c r="B1452" s="6" t="str">
        <f>"孙梦雅"</f>
        <v>孙梦雅</v>
      </c>
      <c r="C1452" s="6" t="str">
        <f>"女"</f>
        <v>女</v>
      </c>
      <c r="D1452" s="6" t="str">
        <f>"202118031415"</f>
        <v>202118031415</v>
      </c>
      <c r="E1452" s="10" t="s">
        <v>20</v>
      </c>
      <c r="F1452" s="6" t="s">
        <v>12</v>
      </c>
      <c r="G1452" s="8">
        <v>0</v>
      </c>
      <c r="H1452" s="9">
        <v>1</v>
      </c>
    </row>
    <row r="1453" spans="1:8">
      <c r="A1453" s="5">
        <v>1264</v>
      </c>
      <c r="B1453" s="6" t="str">
        <f>"谢锟钰"</f>
        <v>谢锟钰</v>
      </c>
      <c r="C1453" s="6" t="str">
        <f>"男"</f>
        <v>男</v>
      </c>
      <c r="D1453" s="6" t="str">
        <f>"202118031416"</f>
        <v>202118031416</v>
      </c>
      <c r="E1453" s="10" t="s">
        <v>20</v>
      </c>
      <c r="F1453" s="6" t="s">
        <v>12</v>
      </c>
      <c r="G1453" s="8">
        <v>75.45</v>
      </c>
      <c r="H1453" s="6"/>
    </row>
    <row r="1454" spans="1:8">
      <c r="A1454" s="5">
        <v>1265</v>
      </c>
      <c r="B1454" s="6" t="str">
        <f>"张佩玉"</f>
        <v>张佩玉</v>
      </c>
      <c r="C1454" s="6" t="str">
        <f t="shared" ref="C1454:C1460" si="67">"女"</f>
        <v>女</v>
      </c>
      <c r="D1454" s="6" t="str">
        <f>"202118031417"</f>
        <v>202118031417</v>
      </c>
      <c r="E1454" s="10" t="s">
        <v>20</v>
      </c>
      <c r="F1454" s="6" t="s">
        <v>12</v>
      </c>
      <c r="G1454" s="8">
        <v>69.099999999999994</v>
      </c>
      <c r="H1454" s="6"/>
    </row>
    <row r="1455" spans="1:8">
      <c r="A1455" s="5">
        <v>1253</v>
      </c>
      <c r="B1455" s="6" t="str">
        <f>"邓梦思"</f>
        <v>邓梦思</v>
      </c>
      <c r="C1455" s="6" t="str">
        <f t="shared" si="67"/>
        <v>女</v>
      </c>
      <c r="D1455" s="6" t="str">
        <f>"202118031418"</f>
        <v>202118031418</v>
      </c>
      <c r="E1455" s="10" t="s">
        <v>20</v>
      </c>
      <c r="F1455" s="6" t="s">
        <v>12</v>
      </c>
      <c r="G1455" s="8">
        <v>66.75</v>
      </c>
      <c r="H1455" s="6"/>
    </row>
    <row r="1456" spans="1:8">
      <c r="A1456" s="5">
        <v>1255</v>
      </c>
      <c r="B1456" s="6" t="str">
        <f>"肖诚"</f>
        <v>肖诚</v>
      </c>
      <c r="C1456" s="6" t="str">
        <f t="shared" si="67"/>
        <v>女</v>
      </c>
      <c r="D1456" s="6" t="str">
        <f>"202118031419"</f>
        <v>202118031419</v>
      </c>
      <c r="E1456" s="10" t="s">
        <v>20</v>
      </c>
      <c r="F1456" s="6" t="s">
        <v>12</v>
      </c>
      <c r="G1456" s="8">
        <v>51.95</v>
      </c>
      <c r="H1456" s="6"/>
    </row>
    <row r="1457" spans="1:8">
      <c r="A1457" s="5">
        <v>1272</v>
      </c>
      <c r="B1457" s="6" t="str">
        <f>"黄佩金"</f>
        <v>黄佩金</v>
      </c>
      <c r="C1457" s="6" t="str">
        <f t="shared" si="67"/>
        <v>女</v>
      </c>
      <c r="D1457" s="6" t="str">
        <f>"202118031420"</f>
        <v>202118031420</v>
      </c>
      <c r="E1457" s="10" t="s">
        <v>20</v>
      </c>
      <c r="F1457" s="6" t="s">
        <v>12</v>
      </c>
      <c r="G1457" s="8">
        <v>55.45</v>
      </c>
      <c r="H1457" s="6"/>
    </row>
    <row r="1458" spans="1:8">
      <c r="A1458" s="5">
        <v>1302</v>
      </c>
      <c r="B1458" s="6" t="str">
        <f>"龙湘玉"</f>
        <v>龙湘玉</v>
      </c>
      <c r="C1458" s="6" t="str">
        <f t="shared" si="67"/>
        <v>女</v>
      </c>
      <c r="D1458" s="6" t="str">
        <f>"202118031421"</f>
        <v>202118031421</v>
      </c>
      <c r="E1458" s="10" t="s">
        <v>20</v>
      </c>
      <c r="F1458" s="6" t="s">
        <v>12</v>
      </c>
      <c r="G1458" s="8">
        <v>88</v>
      </c>
      <c r="H1458" s="6"/>
    </row>
    <row r="1459" spans="1:8">
      <c r="A1459" s="5">
        <v>1286</v>
      </c>
      <c r="B1459" s="6" t="str">
        <f>"李永利"</f>
        <v>李永利</v>
      </c>
      <c r="C1459" s="6" t="str">
        <f t="shared" si="67"/>
        <v>女</v>
      </c>
      <c r="D1459" s="6" t="str">
        <f>"202118031422"</f>
        <v>202118031422</v>
      </c>
      <c r="E1459" s="10" t="s">
        <v>20</v>
      </c>
      <c r="F1459" s="6" t="s">
        <v>12</v>
      </c>
      <c r="G1459" s="8">
        <v>77.099999999999994</v>
      </c>
      <c r="H1459" s="6"/>
    </row>
    <row r="1460" spans="1:8">
      <c r="A1460" s="5">
        <v>1240</v>
      </c>
      <c r="B1460" s="6" t="str">
        <f>"刘苗苗"</f>
        <v>刘苗苗</v>
      </c>
      <c r="C1460" s="6" t="str">
        <f t="shared" si="67"/>
        <v>女</v>
      </c>
      <c r="D1460" s="6" t="str">
        <f>"202118031423"</f>
        <v>202118031423</v>
      </c>
      <c r="E1460" s="10" t="s">
        <v>20</v>
      </c>
      <c r="F1460" s="6" t="s">
        <v>12</v>
      </c>
      <c r="G1460" s="8">
        <v>89.05</v>
      </c>
      <c r="H1460" s="6"/>
    </row>
    <row r="1461" spans="1:8">
      <c r="A1461" s="5">
        <v>1277</v>
      </c>
      <c r="B1461" s="6" t="str">
        <f>"何斌"</f>
        <v>何斌</v>
      </c>
      <c r="C1461" s="6" t="str">
        <f>"男"</f>
        <v>男</v>
      </c>
      <c r="D1461" s="6" t="str">
        <f>"202118031424"</f>
        <v>202118031424</v>
      </c>
      <c r="E1461" s="10" t="s">
        <v>20</v>
      </c>
      <c r="F1461" s="6" t="s">
        <v>12</v>
      </c>
      <c r="G1461" s="8">
        <v>93.5</v>
      </c>
      <c r="H1461" s="6"/>
    </row>
    <row r="1462" spans="1:8">
      <c r="A1462" s="5">
        <v>1259</v>
      </c>
      <c r="B1462" s="6" t="str">
        <f>"曾亚男"</f>
        <v>曾亚男</v>
      </c>
      <c r="C1462" s="6" t="str">
        <f t="shared" ref="C1462:C1473" si="68">"女"</f>
        <v>女</v>
      </c>
      <c r="D1462" s="6" t="str">
        <f>"202118031425"</f>
        <v>202118031425</v>
      </c>
      <c r="E1462" s="10" t="s">
        <v>20</v>
      </c>
      <c r="F1462" s="6" t="s">
        <v>12</v>
      </c>
      <c r="G1462" s="8">
        <v>92.5</v>
      </c>
      <c r="H1462" s="6"/>
    </row>
    <row r="1463" spans="1:8">
      <c r="A1463" s="5">
        <v>1257</v>
      </c>
      <c r="B1463" s="6" t="str">
        <f>"唐洁"</f>
        <v>唐洁</v>
      </c>
      <c r="C1463" s="6" t="str">
        <f t="shared" si="68"/>
        <v>女</v>
      </c>
      <c r="D1463" s="6" t="str">
        <f>"202118031426"</f>
        <v>202118031426</v>
      </c>
      <c r="E1463" s="10" t="s">
        <v>20</v>
      </c>
      <c r="F1463" s="6" t="s">
        <v>12</v>
      </c>
      <c r="G1463" s="8">
        <v>0</v>
      </c>
      <c r="H1463" s="9">
        <v>1</v>
      </c>
    </row>
    <row r="1464" spans="1:8">
      <c r="A1464" s="5">
        <v>1316</v>
      </c>
      <c r="B1464" s="6" t="str">
        <f>"龙苏冬"</f>
        <v>龙苏冬</v>
      </c>
      <c r="C1464" s="6" t="str">
        <f t="shared" si="68"/>
        <v>女</v>
      </c>
      <c r="D1464" s="6" t="str">
        <f>"202118031427"</f>
        <v>202118031427</v>
      </c>
      <c r="E1464" s="10" t="s">
        <v>20</v>
      </c>
      <c r="F1464" s="6" t="s">
        <v>12</v>
      </c>
      <c r="G1464" s="8">
        <v>72.75</v>
      </c>
      <c r="H1464" s="6"/>
    </row>
    <row r="1465" spans="1:8">
      <c r="A1465" s="5">
        <v>1269</v>
      </c>
      <c r="B1465" s="6" t="str">
        <f>"姜茜"</f>
        <v>姜茜</v>
      </c>
      <c r="C1465" s="6" t="str">
        <f t="shared" si="68"/>
        <v>女</v>
      </c>
      <c r="D1465" s="6" t="str">
        <f>"202118031428"</f>
        <v>202118031428</v>
      </c>
      <c r="E1465" s="10" t="s">
        <v>20</v>
      </c>
      <c r="F1465" s="6" t="s">
        <v>12</v>
      </c>
      <c r="G1465" s="8">
        <v>65.25</v>
      </c>
      <c r="H1465" s="6"/>
    </row>
    <row r="1466" spans="1:8">
      <c r="A1466" s="5">
        <v>1281</v>
      </c>
      <c r="B1466" s="6" t="str">
        <f>"胡姝"</f>
        <v>胡姝</v>
      </c>
      <c r="C1466" s="6" t="str">
        <f t="shared" si="68"/>
        <v>女</v>
      </c>
      <c r="D1466" s="6" t="str">
        <f>"202118031429"</f>
        <v>202118031429</v>
      </c>
      <c r="E1466" s="10" t="s">
        <v>20</v>
      </c>
      <c r="F1466" s="6" t="s">
        <v>12</v>
      </c>
      <c r="G1466" s="8">
        <v>57.7</v>
      </c>
      <c r="H1466" s="6"/>
    </row>
    <row r="1467" spans="1:8">
      <c r="A1467" s="5">
        <v>1244</v>
      </c>
      <c r="B1467" s="6" t="str">
        <f>"邓思倩"</f>
        <v>邓思倩</v>
      </c>
      <c r="C1467" s="6" t="str">
        <f t="shared" si="68"/>
        <v>女</v>
      </c>
      <c r="D1467" s="6" t="str">
        <f>"202118031430"</f>
        <v>202118031430</v>
      </c>
      <c r="E1467" s="10" t="s">
        <v>20</v>
      </c>
      <c r="F1467" s="6" t="s">
        <v>12</v>
      </c>
      <c r="G1467" s="8">
        <v>54.45</v>
      </c>
      <c r="H1467" s="6"/>
    </row>
    <row r="1468" spans="1:8">
      <c r="A1468" s="5">
        <v>1296</v>
      </c>
      <c r="B1468" s="6" t="str">
        <f>"龙丹丹"</f>
        <v>龙丹丹</v>
      </c>
      <c r="C1468" s="6" t="str">
        <f t="shared" si="68"/>
        <v>女</v>
      </c>
      <c r="D1468" s="6" t="str">
        <f>"202118031501"</f>
        <v>202118031501</v>
      </c>
      <c r="E1468" s="10" t="s">
        <v>20</v>
      </c>
      <c r="F1468" s="6" t="s">
        <v>12</v>
      </c>
      <c r="G1468" s="8">
        <v>71.45</v>
      </c>
      <c r="H1468" s="6"/>
    </row>
    <row r="1469" spans="1:8">
      <c r="A1469" s="5">
        <v>1285</v>
      </c>
      <c r="B1469" s="6" t="str">
        <f>"彭芬"</f>
        <v>彭芬</v>
      </c>
      <c r="C1469" s="6" t="str">
        <f t="shared" si="68"/>
        <v>女</v>
      </c>
      <c r="D1469" s="6" t="str">
        <f>"202118031502"</f>
        <v>202118031502</v>
      </c>
      <c r="E1469" s="10" t="s">
        <v>20</v>
      </c>
      <c r="F1469" s="6" t="s">
        <v>12</v>
      </c>
      <c r="G1469" s="8">
        <v>59.1</v>
      </c>
      <c r="H1469" s="6"/>
    </row>
    <row r="1470" spans="1:8">
      <c r="A1470" s="5">
        <v>1341</v>
      </c>
      <c r="B1470" s="6" t="str">
        <f>"唐婉琴"</f>
        <v>唐婉琴</v>
      </c>
      <c r="C1470" s="6" t="str">
        <f t="shared" si="68"/>
        <v>女</v>
      </c>
      <c r="D1470" s="6" t="str">
        <f>"202118031503"</f>
        <v>202118031503</v>
      </c>
      <c r="E1470" s="10" t="s">
        <v>20</v>
      </c>
      <c r="F1470" s="6" t="s">
        <v>12</v>
      </c>
      <c r="G1470" s="8">
        <v>80.099999999999994</v>
      </c>
      <c r="H1470" s="6"/>
    </row>
    <row r="1471" spans="1:8">
      <c r="A1471" s="5">
        <v>1324</v>
      </c>
      <c r="B1471" s="6" t="str">
        <f>"刘洁"</f>
        <v>刘洁</v>
      </c>
      <c r="C1471" s="6" t="str">
        <f t="shared" si="68"/>
        <v>女</v>
      </c>
      <c r="D1471" s="6" t="str">
        <f>"202118031504"</f>
        <v>202118031504</v>
      </c>
      <c r="E1471" s="10" t="s">
        <v>20</v>
      </c>
      <c r="F1471" s="6" t="s">
        <v>12</v>
      </c>
      <c r="G1471" s="8">
        <v>80.25</v>
      </c>
      <c r="H1471" s="6"/>
    </row>
    <row r="1472" spans="1:8">
      <c r="A1472" s="5">
        <v>1325</v>
      </c>
      <c r="B1472" s="6" t="str">
        <f>"王倩"</f>
        <v>王倩</v>
      </c>
      <c r="C1472" s="6" t="str">
        <f t="shared" si="68"/>
        <v>女</v>
      </c>
      <c r="D1472" s="6" t="str">
        <f>"202118031505"</f>
        <v>202118031505</v>
      </c>
      <c r="E1472" s="10" t="s">
        <v>20</v>
      </c>
      <c r="F1472" s="6" t="s">
        <v>12</v>
      </c>
      <c r="G1472" s="8">
        <v>53.2</v>
      </c>
      <c r="H1472" s="6"/>
    </row>
    <row r="1473" spans="1:8">
      <c r="A1473" s="5">
        <v>1333</v>
      </c>
      <c r="B1473" s="6" t="str">
        <f>"罗尹池"</f>
        <v>罗尹池</v>
      </c>
      <c r="C1473" s="6" t="str">
        <f t="shared" si="68"/>
        <v>女</v>
      </c>
      <c r="D1473" s="6" t="str">
        <f>"202118031506"</f>
        <v>202118031506</v>
      </c>
      <c r="E1473" s="10" t="s">
        <v>20</v>
      </c>
      <c r="F1473" s="6" t="s">
        <v>12</v>
      </c>
      <c r="G1473" s="8">
        <v>76.400000000000006</v>
      </c>
      <c r="H1473" s="6"/>
    </row>
    <row r="1474" spans="1:8">
      <c r="A1474" s="5">
        <v>1297</v>
      </c>
      <c r="B1474" s="6" t="str">
        <f>"信璨"</f>
        <v>信璨</v>
      </c>
      <c r="C1474" s="6" t="str">
        <f>"男"</f>
        <v>男</v>
      </c>
      <c r="D1474" s="6" t="str">
        <f>"202118031507"</f>
        <v>202118031507</v>
      </c>
      <c r="E1474" s="10" t="s">
        <v>20</v>
      </c>
      <c r="F1474" s="6" t="s">
        <v>12</v>
      </c>
      <c r="G1474" s="8">
        <v>71.150000000000006</v>
      </c>
      <c r="H1474" s="6"/>
    </row>
    <row r="1475" spans="1:8">
      <c r="A1475" s="5">
        <v>1319</v>
      </c>
      <c r="B1475" s="6" t="str">
        <f>"盘思慧"</f>
        <v>盘思慧</v>
      </c>
      <c r="C1475" s="6" t="str">
        <f t="shared" ref="C1475:C1483" si="69">"女"</f>
        <v>女</v>
      </c>
      <c r="D1475" s="6" t="str">
        <f>"202118031508"</f>
        <v>202118031508</v>
      </c>
      <c r="E1475" s="10" t="s">
        <v>20</v>
      </c>
      <c r="F1475" s="6" t="s">
        <v>12</v>
      </c>
      <c r="G1475" s="8">
        <v>68</v>
      </c>
      <c r="H1475" s="6"/>
    </row>
    <row r="1476" spans="1:8">
      <c r="A1476" s="5">
        <v>1321</v>
      </c>
      <c r="B1476" s="6" t="str">
        <f>"吴洪"</f>
        <v>吴洪</v>
      </c>
      <c r="C1476" s="6" t="str">
        <f t="shared" si="69"/>
        <v>女</v>
      </c>
      <c r="D1476" s="6" t="str">
        <f>"202118031509"</f>
        <v>202118031509</v>
      </c>
      <c r="E1476" s="10" t="s">
        <v>20</v>
      </c>
      <c r="F1476" s="6" t="s">
        <v>12</v>
      </c>
      <c r="G1476" s="8">
        <v>82.15</v>
      </c>
      <c r="H1476" s="6"/>
    </row>
    <row r="1477" spans="1:8">
      <c r="A1477" s="5">
        <v>1243</v>
      </c>
      <c r="B1477" s="6" t="str">
        <f>"宁思凝"</f>
        <v>宁思凝</v>
      </c>
      <c r="C1477" s="6" t="str">
        <f t="shared" si="69"/>
        <v>女</v>
      </c>
      <c r="D1477" s="6" t="str">
        <f>"202118031510"</f>
        <v>202118031510</v>
      </c>
      <c r="E1477" s="10" t="s">
        <v>20</v>
      </c>
      <c r="F1477" s="6" t="s">
        <v>12</v>
      </c>
      <c r="G1477" s="8">
        <v>71.849999999999994</v>
      </c>
      <c r="H1477" s="6"/>
    </row>
    <row r="1478" spans="1:8">
      <c r="A1478" s="5">
        <v>1318</v>
      </c>
      <c r="B1478" s="6" t="str">
        <f>"王珍"</f>
        <v>王珍</v>
      </c>
      <c r="C1478" s="6" t="str">
        <f t="shared" si="69"/>
        <v>女</v>
      </c>
      <c r="D1478" s="6" t="str">
        <f>"202118031511"</f>
        <v>202118031511</v>
      </c>
      <c r="E1478" s="10" t="s">
        <v>20</v>
      </c>
      <c r="F1478" s="6" t="s">
        <v>12</v>
      </c>
      <c r="G1478" s="8">
        <v>95.5</v>
      </c>
      <c r="H1478" s="6"/>
    </row>
    <row r="1479" spans="1:8">
      <c r="A1479" s="5">
        <v>1291</v>
      </c>
      <c r="B1479" s="6" t="str">
        <f>"刘照明"</f>
        <v>刘照明</v>
      </c>
      <c r="C1479" s="6" t="str">
        <f t="shared" si="69"/>
        <v>女</v>
      </c>
      <c r="D1479" s="6" t="str">
        <f>"202118031512"</f>
        <v>202118031512</v>
      </c>
      <c r="E1479" s="10" t="s">
        <v>20</v>
      </c>
      <c r="F1479" s="6" t="s">
        <v>12</v>
      </c>
      <c r="G1479" s="8">
        <v>61.5</v>
      </c>
      <c r="H1479" s="6"/>
    </row>
    <row r="1480" spans="1:8">
      <c r="A1480" s="5">
        <v>1282</v>
      </c>
      <c r="B1480" s="6" t="str">
        <f>"罗玉婷"</f>
        <v>罗玉婷</v>
      </c>
      <c r="C1480" s="6" t="str">
        <f t="shared" si="69"/>
        <v>女</v>
      </c>
      <c r="D1480" s="6" t="str">
        <f>"202118031513"</f>
        <v>202118031513</v>
      </c>
      <c r="E1480" s="10" t="s">
        <v>20</v>
      </c>
      <c r="F1480" s="6" t="s">
        <v>12</v>
      </c>
      <c r="G1480" s="8">
        <v>68.5</v>
      </c>
      <c r="H1480" s="6"/>
    </row>
    <row r="1481" spans="1:8">
      <c r="A1481" s="5">
        <v>1275</v>
      </c>
      <c r="B1481" s="6" t="str">
        <f>"王艳"</f>
        <v>王艳</v>
      </c>
      <c r="C1481" s="6" t="str">
        <f t="shared" si="69"/>
        <v>女</v>
      </c>
      <c r="D1481" s="6" t="str">
        <f>"202118031514"</f>
        <v>202118031514</v>
      </c>
      <c r="E1481" s="10" t="s">
        <v>20</v>
      </c>
      <c r="F1481" s="6" t="s">
        <v>12</v>
      </c>
      <c r="G1481" s="8">
        <v>72.7</v>
      </c>
      <c r="H1481" s="6"/>
    </row>
    <row r="1482" spans="1:8">
      <c r="A1482" s="5">
        <v>1299</v>
      </c>
      <c r="B1482" s="6" t="str">
        <f>"罗文慧"</f>
        <v>罗文慧</v>
      </c>
      <c r="C1482" s="6" t="str">
        <f t="shared" si="69"/>
        <v>女</v>
      </c>
      <c r="D1482" s="6" t="str">
        <f>"202118031515"</f>
        <v>202118031515</v>
      </c>
      <c r="E1482" s="10" t="s">
        <v>20</v>
      </c>
      <c r="F1482" s="6" t="s">
        <v>12</v>
      </c>
      <c r="G1482" s="8">
        <v>60.1</v>
      </c>
      <c r="H1482" s="6"/>
    </row>
    <row r="1483" spans="1:8">
      <c r="A1483" s="5">
        <v>1336</v>
      </c>
      <c r="B1483" s="6" t="str">
        <f>"朱丽霞"</f>
        <v>朱丽霞</v>
      </c>
      <c r="C1483" s="6" t="str">
        <f t="shared" si="69"/>
        <v>女</v>
      </c>
      <c r="D1483" s="6" t="str">
        <f>"202118031516"</f>
        <v>202118031516</v>
      </c>
      <c r="E1483" s="10" t="s">
        <v>20</v>
      </c>
      <c r="F1483" s="6" t="s">
        <v>12</v>
      </c>
      <c r="G1483" s="8">
        <v>64.05</v>
      </c>
      <c r="H1483" s="6"/>
    </row>
    <row r="1484" spans="1:8">
      <c r="A1484" s="5">
        <v>1340</v>
      </c>
      <c r="B1484" s="6" t="str">
        <f>"李学锋"</f>
        <v>李学锋</v>
      </c>
      <c r="C1484" s="6" t="str">
        <f>"男"</f>
        <v>男</v>
      </c>
      <c r="D1484" s="6" t="str">
        <f>"202118031517"</f>
        <v>202118031517</v>
      </c>
      <c r="E1484" s="10" t="s">
        <v>20</v>
      </c>
      <c r="F1484" s="6" t="s">
        <v>12</v>
      </c>
      <c r="G1484" s="8">
        <v>79.95</v>
      </c>
      <c r="H1484" s="6"/>
    </row>
    <row r="1485" spans="1:8">
      <c r="A1485" s="5">
        <v>1292</v>
      </c>
      <c r="B1485" s="6" t="str">
        <f>"张莎"</f>
        <v>张莎</v>
      </c>
      <c r="C1485" s="6" t="str">
        <f t="shared" ref="C1485:C1491" si="70">"女"</f>
        <v>女</v>
      </c>
      <c r="D1485" s="6" t="str">
        <f>"202118031518"</f>
        <v>202118031518</v>
      </c>
      <c r="E1485" s="10" t="s">
        <v>20</v>
      </c>
      <c r="F1485" s="6" t="s">
        <v>12</v>
      </c>
      <c r="G1485" s="8">
        <v>55.25</v>
      </c>
      <c r="H1485" s="6"/>
    </row>
    <row r="1486" spans="1:8">
      <c r="A1486" s="5">
        <v>1288</v>
      </c>
      <c r="B1486" s="6" t="str">
        <f>"朱佳惠"</f>
        <v>朱佳惠</v>
      </c>
      <c r="C1486" s="6" t="str">
        <f t="shared" si="70"/>
        <v>女</v>
      </c>
      <c r="D1486" s="6" t="str">
        <f>"202118031519"</f>
        <v>202118031519</v>
      </c>
      <c r="E1486" s="10" t="s">
        <v>20</v>
      </c>
      <c r="F1486" s="6" t="s">
        <v>12</v>
      </c>
      <c r="G1486" s="8">
        <v>74.7</v>
      </c>
      <c r="H1486" s="6"/>
    </row>
    <row r="1487" spans="1:8">
      <c r="A1487" s="5">
        <v>1335</v>
      </c>
      <c r="B1487" s="6" t="str">
        <f>"刘鑫"</f>
        <v>刘鑫</v>
      </c>
      <c r="C1487" s="6" t="str">
        <f t="shared" si="70"/>
        <v>女</v>
      </c>
      <c r="D1487" s="6" t="str">
        <f>"202118031520"</f>
        <v>202118031520</v>
      </c>
      <c r="E1487" s="10" t="s">
        <v>20</v>
      </c>
      <c r="F1487" s="6" t="s">
        <v>12</v>
      </c>
      <c r="G1487" s="8">
        <v>79.849999999999994</v>
      </c>
      <c r="H1487" s="6"/>
    </row>
    <row r="1488" spans="1:8">
      <c r="A1488" s="5">
        <v>1276</v>
      </c>
      <c r="B1488" s="6" t="str">
        <f>"王盈凤"</f>
        <v>王盈凤</v>
      </c>
      <c r="C1488" s="6" t="str">
        <f t="shared" si="70"/>
        <v>女</v>
      </c>
      <c r="D1488" s="6" t="str">
        <f>"202118031521"</f>
        <v>202118031521</v>
      </c>
      <c r="E1488" s="10" t="s">
        <v>20</v>
      </c>
      <c r="F1488" s="6" t="s">
        <v>12</v>
      </c>
      <c r="G1488" s="8">
        <v>79</v>
      </c>
      <c r="H1488" s="6"/>
    </row>
    <row r="1489" spans="1:8">
      <c r="A1489" s="5">
        <v>1289</v>
      </c>
      <c r="B1489" s="6" t="str">
        <f>"朱诗柳"</f>
        <v>朱诗柳</v>
      </c>
      <c r="C1489" s="6" t="str">
        <f t="shared" si="70"/>
        <v>女</v>
      </c>
      <c r="D1489" s="6" t="str">
        <f>"202118031522"</f>
        <v>202118031522</v>
      </c>
      <c r="E1489" s="10" t="s">
        <v>20</v>
      </c>
      <c r="F1489" s="6" t="s">
        <v>12</v>
      </c>
      <c r="G1489" s="8">
        <v>62.3</v>
      </c>
      <c r="H1489" s="6"/>
    </row>
    <row r="1490" spans="1:8">
      <c r="A1490" s="5">
        <v>1238</v>
      </c>
      <c r="B1490" s="6" t="str">
        <f>"谭雅之"</f>
        <v>谭雅之</v>
      </c>
      <c r="C1490" s="6" t="str">
        <f t="shared" si="70"/>
        <v>女</v>
      </c>
      <c r="D1490" s="6" t="str">
        <f>"202118031523"</f>
        <v>202118031523</v>
      </c>
      <c r="E1490" s="10" t="s">
        <v>20</v>
      </c>
      <c r="F1490" s="6" t="s">
        <v>12</v>
      </c>
      <c r="G1490" s="8">
        <v>0</v>
      </c>
      <c r="H1490" s="9">
        <v>1</v>
      </c>
    </row>
    <row r="1491" spans="1:8">
      <c r="A1491" s="5">
        <v>1261</v>
      </c>
      <c r="B1491" s="6" t="str">
        <f>"唐婧"</f>
        <v>唐婧</v>
      </c>
      <c r="C1491" s="6" t="str">
        <f t="shared" si="70"/>
        <v>女</v>
      </c>
      <c r="D1491" s="6" t="str">
        <f>"202118031524"</f>
        <v>202118031524</v>
      </c>
      <c r="E1491" s="10" t="s">
        <v>20</v>
      </c>
      <c r="F1491" s="6" t="s">
        <v>12</v>
      </c>
      <c r="G1491" s="8">
        <v>84.55</v>
      </c>
      <c r="H1491" s="6"/>
    </row>
    <row r="1492" spans="1:8">
      <c r="A1492" s="5">
        <v>1329</v>
      </c>
      <c r="B1492" s="6" t="str">
        <f>"王权奇"</f>
        <v>王权奇</v>
      </c>
      <c r="C1492" s="6" t="str">
        <f>"男"</f>
        <v>男</v>
      </c>
      <c r="D1492" s="6" t="str">
        <f>"202118031525"</f>
        <v>202118031525</v>
      </c>
      <c r="E1492" s="10" t="s">
        <v>20</v>
      </c>
      <c r="F1492" s="6" t="s">
        <v>12</v>
      </c>
      <c r="G1492" s="8">
        <v>0</v>
      </c>
      <c r="H1492" s="9">
        <v>1</v>
      </c>
    </row>
    <row r="1493" spans="1:8">
      <c r="A1493" s="5">
        <v>1242</v>
      </c>
      <c r="B1493" s="6" t="str">
        <f>"李瑶"</f>
        <v>李瑶</v>
      </c>
      <c r="C1493" s="6" t="str">
        <f t="shared" ref="C1493:C1498" si="71">"女"</f>
        <v>女</v>
      </c>
      <c r="D1493" s="6" t="str">
        <f>"202118031526"</f>
        <v>202118031526</v>
      </c>
      <c r="E1493" s="10" t="s">
        <v>20</v>
      </c>
      <c r="F1493" s="6" t="s">
        <v>12</v>
      </c>
      <c r="G1493" s="8">
        <v>0</v>
      </c>
      <c r="H1493" s="9">
        <v>1</v>
      </c>
    </row>
    <row r="1494" spans="1:8">
      <c r="A1494" s="5">
        <v>1311</v>
      </c>
      <c r="B1494" s="6" t="str">
        <f>"阳梅"</f>
        <v>阳梅</v>
      </c>
      <c r="C1494" s="6" t="str">
        <f t="shared" si="71"/>
        <v>女</v>
      </c>
      <c r="D1494" s="6" t="str">
        <f>"202118031527"</f>
        <v>202118031527</v>
      </c>
      <c r="E1494" s="10" t="s">
        <v>20</v>
      </c>
      <c r="F1494" s="6" t="s">
        <v>12</v>
      </c>
      <c r="G1494" s="8">
        <v>70.900000000000006</v>
      </c>
      <c r="H1494" s="6"/>
    </row>
    <row r="1495" spans="1:8">
      <c r="A1495" s="5">
        <v>1310</v>
      </c>
      <c r="B1495" s="6" t="str">
        <f>"刘田英"</f>
        <v>刘田英</v>
      </c>
      <c r="C1495" s="6" t="str">
        <f t="shared" si="71"/>
        <v>女</v>
      </c>
      <c r="D1495" s="6" t="str">
        <f>"202118031528"</f>
        <v>202118031528</v>
      </c>
      <c r="E1495" s="10" t="s">
        <v>20</v>
      </c>
      <c r="F1495" s="6" t="s">
        <v>12</v>
      </c>
      <c r="G1495" s="8">
        <v>80.150000000000006</v>
      </c>
      <c r="H1495" s="6"/>
    </row>
    <row r="1496" spans="1:8">
      <c r="A1496" s="5">
        <v>1337</v>
      </c>
      <c r="B1496" s="6" t="str">
        <f>"王昕雯"</f>
        <v>王昕雯</v>
      </c>
      <c r="C1496" s="6" t="str">
        <f t="shared" si="71"/>
        <v>女</v>
      </c>
      <c r="D1496" s="6" t="str">
        <f>"202118031529"</f>
        <v>202118031529</v>
      </c>
      <c r="E1496" s="10" t="s">
        <v>20</v>
      </c>
      <c r="F1496" s="6" t="s">
        <v>12</v>
      </c>
      <c r="G1496" s="8">
        <v>50.9</v>
      </c>
      <c r="H1496" s="6"/>
    </row>
    <row r="1497" spans="1:8">
      <c r="A1497" s="5">
        <v>1308</v>
      </c>
      <c r="B1497" s="6" t="str">
        <f>"彭广秋"</f>
        <v>彭广秋</v>
      </c>
      <c r="C1497" s="6" t="str">
        <f t="shared" si="71"/>
        <v>女</v>
      </c>
      <c r="D1497" s="6" t="str">
        <f>"202118031530"</f>
        <v>202118031530</v>
      </c>
      <c r="E1497" s="10" t="s">
        <v>20</v>
      </c>
      <c r="F1497" s="6" t="s">
        <v>12</v>
      </c>
      <c r="G1497" s="8">
        <v>71.900000000000006</v>
      </c>
      <c r="H1497" s="6"/>
    </row>
    <row r="1498" spans="1:8">
      <c r="A1498" s="5">
        <v>1274</v>
      </c>
      <c r="B1498" s="6" t="str">
        <f>"姚芳炜"</f>
        <v>姚芳炜</v>
      </c>
      <c r="C1498" s="6" t="str">
        <f t="shared" si="71"/>
        <v>女</v>
      </c>
      <c r="D1498" s="6" t="str">
        <f>"202118031601"</f>
        <v>202118031601</v>
      </c>
      <c r="E1498" s="10" t="s">
        <v>20</v>
      </c>
      <c r="F1498" s="6" t="s">
        <v>12</v>
      </c>
      <c r="G1498" s="8">
        <v>0</v>
      </c>
      <c r="H1498" s="9">
        <v>1</v>
      </c>
    </row>
    <row r="1499" spans="1:8">
      <c r="A1499" s="5">
        <v>1263</v>
      </c>
      <c r="B1499" s="6" t="str">
        <f>"伍鋆"</f>
        <v>伍鋆</v>
      </c>
      <c r="C1499" s="6" t="str">
        <f>"男"</f>
        <v>男</v>
      </c>
      <c r="D1499" s="6" t="str">
        <f>"202118031602"</f>
        <v>202118031602</v>
      </c>
      <c r="E1499" s="10" t="s">
        <v>20</v>
      </c>
      <c r="F1499" s="6" t="s">
        <v>12</v>
      </c>
      <c r="G1499" s="8">
        <v>74.650000000000006</v>
      </c>
      <c r="H1499" s="6"/>
    </row>
    <row r="1500" spans="1:8">
      <c r="A1500" s="5">
        <v>1303</v>
      </c>
      <c r="B1500" s="6" t="str">
        <f>"蒋娟"</f>
        <v>蒋娟</v>
      </c>
      <c r="C1500" s="6" t="str">
        <f t="shared" ref="C1500:C1510" si="72">"女"</f>
        <v>女</v>
      </c>
      <c r="D1500" s="6" t="str">
        <f>"202118031603"</f>
        <v>202118031603</v>
      </c>
      <c r="E1500" s="10" t="s">
        <v>20</v>
      </c>
      <c r="F1500" s="6" t="s">
        <v>12</v>
      </c>
      <c r="G1500" s="8">
        <v>46.05</v>
      </c>
      <c r="H1500" s="6"/>
    </row>
    <row r="1501" spans="1:8">
      <c r="A1501" s="5">
        <v>1320</v>
      </c>
      <c r="B1501" s="6" t="str">
        <f>"王紫珊"</f>
        <v>王紫珊</v>
      </c>
      <c r="C1501" s="6" t="str">
        <f t="shared" si="72"/>
        <v>女</v>
      </c>
      <c r="D1501" s="6" t="str">
        <f>"202118031604"</f>
        <v>202118031604</v>
      </c>
      <c r="E1501" s="10" t="s">
        <v>20</v>
      </c>
      <c r="F1501" s="6" t="s">
        <v>12</v>
      </c>
      <c r="G1501" s="8">
        <v>76.849999999999994</v>
      </c>
      <c r="H1501" s="6"/>
    </row>
    <row r="1502" spans="1:8">
      <c r="A1502" s="5">
        <v>1278</v>
      </c>
      <c r="B1502" s="6" t="str">
        <f>"欧艺博"</f>
        <v>欧艺博</v>
      </c>
      <c r="C1502" s="6" t="str">
        <f t="shared" si="72"/>
        <v>女</v>
      </c>
      <c r="D1502" s="6" t="str">
        <f>"202118031605"</f>
        <v>202118031605</v>
      </c>
      <c r="E1502" s="10" t="s">
        <v>20</v>
      </c>
      <c r="F1502" s="6" t="s">
        <v>12</v>
      </c>
      <c r="G1502" s="8">
        <v>94</v>
      </c>
      <c r="H1502" s="6"/>
    </row>
    <row r="1503" spans="1:8">
      <c r="A1503" s="5">
        <v>1295</v>
      </c>
      <c r="B1503" s="6" t="str">
        <f>"何姿"</f>
        <v>何姿</v>
      </c>
      <c r="C1503" s="6" t="str">
        <f t="shared" si="72"/>
        <v>女</v>
      </c>
      <c r="D1503" s="6" t="str">
        <f>"202118031606"</f>
        <v>202118031606</v>
      </c>
      <c r="E1503" s="10" t="s">
        <v>20</v>
      </c>
      <c r="F1503" s="6" t="s">
        <v>12</v>
      </c>
      <c r="G1503" s="8">
        <v>0</v>
      </c>
      <c r="H1503" s="9">
        <v>1</v>
      </c>
    </row>
    <row r="1504" spans="1:8">
      <c r="A1504" s="5">
        <v>1313</v>
      </c>
      <c r="B1504" s="6" t="str">
        <f>"付伊玲"</f>
        <v>付伊玲</v>
      </c>
      <c r="C1504" s="6" t="str">
        <f t="shared" si="72"/>
        <v>女</v>
      </c>
      <c r="D1504" s="6" t="str">
        <f>"202118031607"</f>
        <v>202118031607</v>
      </c>
      <c r="E1504" s="10" t="s">
        <v>20</v>
      </c>
      <c r="F1504" s="6" t="s">
        <v>12</v>
      </c>
      <c r="G1504" s="8">
        <v>84.1</v>
      </c>
      <c r="H1504" s="6"/>
    </row>
    <row r="1505" spans="1:8">
      <c r="A1505" s="5">
        <v>1332</v>
      </c>
      <c r="B1505" s="6" t="str">
        <f>"黄渝"</f>
        <v>黄渝</v>
      </c>
      <c r="C1505" s="6" t="str">
        <f t="shared" si="72"/>
        <v>女</v>
      </c>
      <c r="D1505" s="6" t="str">
        <f>"202118031608"</f>
        <v>202118031608</v>
      </c>
      <c r="E1505" s="10" t="s">
        <v>20</v>
      </c>
      <c r="F1505" s="6" t="s">
        <v>12</v>
      </c>
      <c r="G1505" s="8">
        <v>64</v>
      </c>
      <c r="H1505" s="6"/>
    </row>
    <row r="1506" spans="1:8">
      <c r="A1506" s="5">
        <v>1326</v>
      </c>
      <c r="B1506" s="6" t="str">
        <f>"黄洁"</f>
        <v>黄洁</v>
      </c>
      <c r="C1506" s="6" t="str">
        <f t="shared" si="72"/>
        <v>女</v>
      </c>
      <c r="D1506" s="6" t="str">
        <f>"202118031609"</f>
        <v>202118031609</v>
      </c>
      <c r="E1506" s="10" t="s">
        <v>20</v>
      </c>
      <c r="F1506" s="6" t="s">
        <v>12</v>
      </c>
      <c r="G1506" s="8">
        <v>71.45</v>
      </c>
      <c r="H1506" s="6"/>
    </row>
    <row r="1507" spans="1:8">
      <c r="A1507" s="5">
        <v>1270</v>
      </c>
      <c r="B1507" s="6" t="str">
        <f>"彭静"</f>
        <v>彭静</v>
      </c>
      <c r="C1507" s="6" t="str">
        <f t="shared" si="72"/>
        <v>女</v>
      </c>
      <c r="D1507" s="6" t="str">
        <f>"202118031610"</f>
        <v>202118031610</v>
      </c>
      <c r="E1507" s="10" t="s">
        <v>20</v>
      </c>
      <c r="F1507" s="6" t="s">
        <v>12</v>
      </c>
      <c r="G1507" s="8">
        <v>70.8</v>
      </c>
      <c r="H1507" s="6"/>
    </row>
    <row r="1508" spans="1:8">
      <c r="A1508" s="5">
        <v>1254</v>
      </c>
      <c r="B1508" s="6" t="str">
        <f>"刘泽兰"</f>
        <v>刘泽兰</v>
      </c>
      <c r="C1508" s="6" t="str">
        <f t="shared" si="72"/>
        <v>女</v>
      </c>
      <c r="D1508" s="6" t="str">
        <f>"202118031611"</f>
        <v>202118031611</v>
      </c>
      <c r="E1508" s="10" t="s">
        <v>20</v>
      </c>
      <c r="F1508" s="6" t="s">
        <v>12</v>
      </c>
      <c r="G1508" s="8">
        <v>72.95</v>
      </c>
      <c r="H1508" s="6"/>
    </row>
    <row r="1509" spans="1:8">
      <c r="A1509" s="5">
        <v>1241</v>
      </c>
      <c r="B1509" s="6" t="str">
        <f>"吴瑕"</f>
        <v>吴瑕</v>
      </c>
      <c r="C1509" s="6" t="str">
        <f t="shared" si="72"/>
        <v>女</v>
      </c>
      <c r="D1509" s="6" t="str">
        <f>"202118031612"</f>
        <v>202118031612</v>
      </c>
      <c r="E1509" s="10" t="s">
        <v>20</v>
      </c>
      <c r="F1509" s="6" t="s">
        <v>12</v>
      </c>
      <c r="G1509" s="8">
        <v>89.75</v>
      </c>
      <c r="H1509" s="6"/>
    </row>
    <row r="1510" spans="1:8">
      <c r="A1510" s="5">
        <v>1234</v>
      </c>
      <c r="B1510" s="6" t="str">
        <f>"刘静"</f>
        <v>刘静</v>
      </c>
      <c r="C1510" s="6" t="str">
        <f t="shared" si="72"/>
        <v>女</v>
      </c>
      <c r="D1510" s="6" t="str">
        <f>"202118031613"</f>
        <v>202118031613</v>
      </c>
      <c r="E1510" s="10" t="s">
        <v>20</v>
      </c>
      <c r="F1510" s="6" t="s">
        <v>12</v>
      </c>
      <c r="G1510" s="8">
        <v>0</v>
      </c>
      <c r="H1510" s="9">
        <v>1</v>
      </c>
    </row>
    <row r="1511" spans="1:8">
      <c r="A1511" s="5">
        <v>1307</v>
      </c>
      <c r="B1511" s="6" t="str">
        <f>"方涌泉"</f>
        <v>方涌泉</v>
      </c>
      <c r="C1511" s="6" t="str">
        <f>"男"</f>
        <v>男</v>
      </c>
      <c r="D1511" s="6" t="str">
        <f>"202118031614"</f>
        <v>202118031614</v>
      </c>
      <c r="E1511" s="10" t="s">
        <v>20</v>
      </c>
      <c r="F1511" s="6" t="s">
        <v>12</v>
      </c>
      <c r="G1511" s="8">
        <v>67.45</v>
      </c>
      <c r="H1511" s="6"/>
    </row>
    <row r="1512" spans="1:8">
      <c r="A1512" s="5">
        <v>1322</v>
      </c>
      <c r="B1512" s="6" t="str">
        <f>"海宇菡"</f>
        <v>海宇菡</v>
      </c>
      <c r="C1512" s="6" t="str">
        <f t="shared" ref="C1512:C1521" si="73">"女"</f>
        <v>女</v>
      </c>
      <c r="D1512" s="6" t="str">
        <f>"202118031615"</f>
        <v>202118031615</v>
      </c>
      <c r="E1512" s="10" t="s">
        <v>20</v>
      </c>
      <c r="F1512" s="6" t="s">
        <v>12</v>
      </c>
      <c r="G1512" s="8">
        <v>76.849999999999994</v>
      </c>
      <c r="H1512" s="6"/>
    </row>
    <row r="1513" spans="1:8">
      <c r="A1513" s="5">
        <v>1293</v>
      </c>
      <c r="B1513" s="6" t="str">
        <f>"阳淼"</f>
        <v>阳淼</v>
      </c>
      <c r="C1513" s="6" t="str">
        <f t="shared" si="73"/>
        <v>女</v>
      </c>
      <c r="D1513" s="6" t="str">
        <f>"202118031616"</f>
        <v>202118031616</v>
      </c>
      <c r="E1513" s="10" t="s">
        <v>20</v>
      </c>
      <c r="F1513" s="6" t="s">
        <v>12</v>
      </c>
      <c r="G1513" s="8">
        <v>68.599999999999994</v>
      </c>
      <c r="H1513" s="6"/>
    </row>
    <row r="1514" spans="1:8">
      <c r="A1514" s="5">
        <v>1246</v>
      </c>
      <c r="B1514" s="6" t="str">
        <f>"曾影影"</f>
        <v>曾影影</v>
      </c>
      <c r="C1514" s="6" t="str">
        <f t="shared" si="73"/>
        <v>女</v>
      </c>
      <c r="D1514" s="6" t="str">
        <f>"202118031617"</f>
        <v>202118031617</v>
      </c>
      <c r="E1514" s="10" t="s">
        <v>20</v>
      </c>
      <c r="F1514" s="6" t="s">
        <v>12</v>
      </c>
      <c r="G1514" s="8">
        <v>71.900000000000006</v>
      </c>
      <c r="H1514" s="6"/>
    </row>
    <row r="1515" spans="1:8">
      <c r="A1515" s="5">
        <v>1266</v>
      </c>
      <c r="B1515" s="6" t="str">
        <f>"黄雯"</f>
        <v>黄雯</v>
      </c>
      <c r="C1515" s="6" t="str">
        <f t="shared" si="73"/>
        <v>女</v>
      </c>
      <c r="D1515" s="6" t="str">
        <f>"202118031618"</f>
        <v>202118031618</v>
      </c>
      <c r="E1515" s="10" t="s">
        <v>20</v>
      </c>
      <c r="F1515" s="6" t="s">
        <v>12</v>
      </c>
      <c r="G1515" s="8">
        <v>73.349999999999994</v>
      </c>
      <c r="H1515" s="6"/>
    </row>
    <row r="1516" spans="1:8">
      <c r="A1516" s="5">
        <v>1258</v>
      </c>
      <c r="B1516" s="6" t="str">
        <f>"易含琪"</f>
        <v>易含琪</v>
      </c>
      <c r="C1516" s="6" t="str">
        <f t="shared" si="73"/>
        <v>女</v>
      </c>
      <c r="D1516" s="6" t="str">
        <f>"202118031619"</f>
        <v>202118031619</v>
      </c>
      <c r="E1516" s="10" t="s">
        <v>20</v>
      </c>
      <c r="F1516" s="6" t="s">
        <v>12</v>
      </c>
      <c r="G1516" s="8">
        <v>61.75</v>
      </c>
      <c r="H1516" s="6"/>
    </row>
    <row r="1517" spans="1:8">
      <c r="A1517" s="5">
        <v>1312</v>
      </c>
      <c r="B1517" s="6" t="str">
        <f>"付梦婷"</f>
        <v>付梦婷</v>
      </c>
      <c r="C1517" s="6" t="str">
        <f t="shared" si="73"/>
        <v>女</v>
      </c>
      <c r="D1517" s="6" t="str">
        <f>"202118031620"</f>
        <v>202118031620</v>
      </c>
      <c r="E1517" s="10" t="s">
        <v>20</v>
      </c>
      <c r="F1517" s="6" t="s">
        <v>12</v>
      </c>
      <c r="G1517" s="8">
        <v>85.05</v>
      </c>
      <c r="H1517" s="6"/>
    </row>
    <row r="1518" spans="1:8">
      <c r="A1518" s="5">
        <v>1327</v>
      </c>
      <c r="B1518" s="6" t="str">
        <f>"陈妍"</f>
        <v>陈妍</v>
      </c>
      <c r="C1518" s="6" t="str">
        <f t="shared" si="73"/>
        <v>女</v>
      </c>
      <c r="D1518" s="6" t="str">
        <f>"202118031621"</f>
        <v>202118031621</v>
      </c>
      <c r="E1518" s="10" t="s">
        <v>20</v>
      </c>
      <c r="F1518" s="6" t="s">
        <v>12</v>
      </c>
      <c r="G1518" s="8">
        <v>84.1</v>
      </c>
      <c r="H1518" s="6"/>
    </row>
    <row r="1519" spans="1:8">
      <c r="A1519" s="5">
        <v>1260</v>
      </c>
      <c r="B1519" s="6" t="str">
        <f>"徐丽姣"</f>
        <v>徐丽姣</v>
      </c>
      <c r="C1519" s="6" t="str">
        <f t="shared" si="73"/>
        <v>女</v>
      </c>
      <c r="D1519" s="6" t="str">
        <f>"202118031622"</f>
        <v>202118031622</v>
      </c>
      <c r="E1519" s="10" t="s">
        <v>20</v>
      </c>
      <c r="F1519" s="6" t="s">
        <v>12</v>
      </c>
      <c r="G1519" s="8">
        <v>57.15</v>
      </c>
      <c r="H1519" s="6"/>
    </row>
    <row r="1520" spans="1:8">
      <c r="A1520" s="5">
        <v>1309</v>
      </c>
      <c r="B1520" s="6" t="str">
        <f>"呙蓉"</f>
        <v>呙蓉</v>
      </c>
      <c r="C1520" s="6" t="str">
        <f t="shared" si="73"/>
        <v>女</v>
      </c>
      <c r="D1520" s="6" t="str">
        <f>"202118031623"</f>
        <v>202118031623</v>
      </c>
      <c r="E1520" s="10" t="s">
        <v>20</v>
      </c>
      <c r="F1520" s="6" t="s">
        <v>12</v>
      </c>
      <c r="G1520" s="8">
        <v>68.2</v>
      </c>
      <c r="H1520" s="6"/>
    </row>
    <row r="1521" spans="1:8">
      <c r="A1521" s="5">
        <v>1268</v>
      </c>
      <c r="B1521" s="6" t="str">
        <f>"黎卓远"</f>
        <v>黎卓远</v>
      </c>
      <c r="C1521" s="6" t="str">
        <f t="shared" si="73"/>
        <v>女</v>
      </c>
      <c r="D1521" s="6" t="str">
        <f>"202118031624"</f>
        <v>202118031624</v>
      </c>
      <c r="E1521" s="10" t="s">
        <v>20</v>
      </c>
      <c r="F1521" s="6" t="s">
        <v>12</v>
      </c>
      <c r="G1521" s="8">
        <v>90.25</v>
      </c>
      <c r="H1521" s="6"/>
    </row>
    <row r="1522" spans="1:8">
      <c r="A1522" s="5">
        <v>1247</v>
      </c>
      <c r="B1522" s="6" t="str">
        <f>"黄伟"</f>
        <v>黄伟</v>
      </c>
      <c r="C1522" s="6" t="str">
        <f>"男"</f>
        <v>男</v>
      </c>
      <c r="D1522" s="6" t="str">
        <f>"202118031625"</f>
        <v>202118031625</v>
      </c>
      <c r="E1522" s="10" t="s">
        <v>20</v>
      </c>
      <c r="F1522" s="6" t="s">
        <v>12</v>
      </c>
      <c r="G1522" s="8">
        <v>87.05</v>
      </c>
      <c r="H1522" s="6"/>
    </row>
    <row r="1523" spans="1:8">
      <c r="A1523" s="5">
        <v>1250</v>
      </c>
      <c r="B1523" s="6" t="str">
        <f>"张婷"</f>
        <v>张婷</v>
      </c>
      <c r="C1523" s="6" t="str">
        <f t="shared" ref="C1523:C1538" si="74">"女"</f>
        <v>女</v>
      </c>
      <c r="D1523" s="6" t="str">
        <f>"202118031626"</f>
        <v>202118031626</v>
      </c>
      <c r="E1523" s="10" t="s">
        <v>20</v>
      </c>
      <c r="F1523" s="6" t="s">
        <v>12</v>
      </c>
      <c r="G1523" s="8">
        <v>86.55</v>
      </c>
      <c r="H1523" s="6"/>
    </row>
    <row r="1524" spans="1:8">
      <c r="A1524" s="5">
        <v>1262</v>
      </c>
      <c r="B1524" s="6" t="str">
        <f>"汤紫菲"</f>
        <v>汤紫菲</v>
      </c>
      <c r="C1524" s="6" t="str">
        <f t="shared" si="74"/>
        <v>女</v>
      </c>
      <c r="D1524" s="6" t="str">
        <f>"202118031627"</f>
        <v>202118031627</v>
      </c>
      <c r="E1524" s="10" t="s">
        <v>20</v>
      </c>
      <c r="F1524" s="6" t="s">
        <v>12</v>
      </c>
      <c r="G1524" s="8">
        <v>70</v>
      </c>
      <c r="H1524" s="6"/>
    </row>
    <row r="1525" spans="1:8">
      <c r="A1525" s="5">
        <v>1252</v>
      </c>
      <c r="B1525" s="6" t="str">
        <f>"赵晓娜"</f>
        <v>赵晓娜</v>
      </c>
      <c r="C1525" s="6" t="str">
        <f t="shared" si="74"/>
        <v>女</v>
      </c>
      <c r="D1525" s="6" t="str">
        <f>"202118031628"</f>
        <v>202118031628</v>
      </c>
      <c r="E1525" s="10" t="s">
        <v>20</v>
      </c>
      <c r="F1525" s="6" t="s">
        <v>12</v>
      </c>
      <c r="G1525" s="8">
        <v>78</v>
      </c>
      <c r="H1525" s="6"/>
    </row>
    <row r="1526" spans="1:8">
      <c r="A1526" s="5">
        <v>1338</v>
      </c>
      <c r="B1526" s="6" t="str">
        <f>"严碧瑶"</f>
        <v>严碧瑶</v>
      </c>
      <c r="C1526" s="6" t="str">
        <f t="shared" si="74"/>
        <v>女</v>
      </c>
      <c r="D1526" s="6" t="str">
        <f>"202118031629"</f>
        <v>202118031629</v>
      </c>
      <c r="E1526" s="10" t="s">
        <v>20</v>
      </c>
      <c r="F1526" s="6" t="s">
        <v>12</v>
      </c>
      <c r="G1526" s="8">
        <v>75.150000000000006</v>
      </c>
      <c r="H1526" s="6"/>
    </row>
    <row r="1527" spans="1:8">
      <c r="A1527" s="5">
        <v>1283</v>
      </c>
      <c r="B1527" s="6" t="str">
        <f>"董美男"</f>
        <v>董美男</v>
      </c>
      <c r="C1527" s="6" t="str">
        <f t="shared" si="74"/>
        <v>女</v>
      </c>
      <c r="D1527" s="6" t="str">
        <f>"202118031630"</f>
        <v>202118031630</v>
      </c>
      <c r="E1527" s="10" t="s">
        <v>20</v>
      </c>
      <c r="F1527" s="6" t="s">
        <v>12</v>
      </c>
      <c r="G1527" s="8">
        <v>68.7</v>
      </c>
      <c r="H1527" s="6"/>
    </row>
    <row r="1528" spans="1:8">
      <c r="A1528" s="5">
        <v>1271</v>
      </c>
      <c r="B1528" s="6" t="str">
        <f>"邓楠"</f>
        <v>邓楠</v>
      </c>
      <c r="C1528" s="6" t="str">
        <f t="shared" si="74"/>
        <v>女</v>
      </c>
      <c r="D1528" s="6" t="str">
        <f>"202118031701"</f>
        <v>202118031701</v>
      </c>
      <c r="E1528" s="10" t="s">
        <v>20</v>
      </c>
      <c r="F1528" s="6" t="s">
        <v>12</v>
      </c>
      <c r="G1528" s="8">
        <v>91</v>
      </c>
      <c r="H1528" s="6"/>
    </row>
    <row r="1529" spans="1:8">
      <c r="A1529" s="5">
        <v>1315</v>
      </c>
      <c r="B1529" s="6" t="str">
        <f>"封阳春"</f>
        <v>封阳春</v>
      </c>
      <c r="C1529" s="6" t="str">
        <f t="shared" si="74"/>
        <v>女</v>
      </c>
      <c r="D1529" s="6" t="str">
        <f>"202118031702"</f>
        <v>202118031702</v>
      </c>
      <c r="E1529" s="10" t="s">
        <v>20</v>
      </c>
      <c r="F1529" s="6" t="s">
        <v>12</v>
      </c>
      <c r="G1529" s="8">
        <v>77.2</v>
      </c>
      <c r="H1529" s="6"/>
    </row>
    <row r="1530" spans="1:8">
      <c r="A1530" s="5">
        <v>1294</v>
      </c>
      <c r="B1530" s="6" t="str">
        <f>"李美玲"</f>
        <v>李美玲</v>
      </c>
      <c r="C1530" s="6" t="str">
        <f t="shared" si="74"/>
        <v>女</v>
      </c>
      <c r="D1530" s="6" t="str">
        <f>"202118031703"</f>
        <v>202118031703</v>
      </c>
      <c r="E1530" s="10" t="s">
        <v>20</v>
      </c>
      <c r="F1530" s="6" t="s">
        <v>12</v>
      </c>
      <c r="G1530" s="8">
        <v>66.8</v>
      </c>
      <c r="H1530" s="6"/>
    </row>
    <row r="1531" spans="1:8">
      <c r="A1531" s="5">
        <v>1330</v>
      </c>
      <c r="B1531" s="6" t="str">
        <f>"周婷"</f>
        <v>周婷</v>
      </c>
      <c r="C1531" s="6" t="str">
        <f t="shared" si="74"/>
        <v>女</v>
      </c>
      <c r="D1531" s="6" t="str">
        <f>"202118031704"</f>
        <v>202118031704</v>
      </c>
      <c r="E1531" s="10" t="s">
        <v>20</v>
      </c>
      <c r="F1531" s="6" t="s">
        <v>12</v>
      </c>
      <c r="G1531" s="8">
        <v>67.05</v>
      </c>
      <c r="H1531" s="6"/>
    </row>
    <row r="1532" spans="1:8">
      <c r="A1532" s="5">
        <v>1317</v>
      </c>
      <c r="B1532" s="6" t="str">
        <f>"刘文琪"</f>
        <v>刘文琪</v>
      </c>
      <c r="C1532" s="6" t="str">
        <f t="shared" si="74"/>
        <v>女</v>
      </c>
      <c r="D1532" s="6" t="str">
        <f>"202118031705"</f>
        <v>202118031705</v>
      </c>
      <c r="E1532" s="10" t="s">
        <v>20</v>
      </c>
      <c r="F1532" s="6" t="s">
        <v>12</v>
      </c>
      <c r="G1532" s="8">
        <v>64.3</v>
      </c>
      <c r="H1532" s="6"/>
    </row>
    <row r="1533" spans="1:8">
      <c r="A1533" s="5">
        <v>1298</v>
      </c>
      <c r="B1533" s="6" t="str">
        <f>"张逸"</f>
        <v>张逸</v>
      </c>
      <c r="C1533" s="6" t="str">
        <f t="shared" si="74"/>
        <v>女</v>
      </c>
      <c r="D1533" s="6" t="str">
        <f>"202118031706"</f>
        <v>202118031706</v>
      </c>
      <c r="E1533" s="10" t="s">
        <v>20</v>
      </c>
      <c r="F1533" s="6" t="s">
        <v>12</v>
      </c>
      <c r="G1533" s="8">
        <v>83.8</v>
      </c>
      <c r="H1533" s="6"/>
    </row>
    <row r="1534" spans="1:8">
      <c r="A1534" s="5">
        <v>1237</v>
      </c>
      <c r="B1534" s="6" t="str">
        <f>"刘浪"</f>
        <v>刘浪</v>
      </c>
      <c r="C1534" s="6" t="str">
        <f t="shared" si="74"/>
        <v>女</v>
      </c>
      <c r="D1534" s="6" t="str">
        <f>"202118031707"</f>
        <v>202118031707</v>
      </c>
      <c r="E1534" s="10" t="s">
        <v>20</v>
      </c>
      <c r="F1534" s="6" t="s">
        <v>12</v>
      </c>
      <c r="G1534" s="8">
        <v>0</v>
      </c>
      <c r="H1534" s="9">
        <v>1</v>
      </c>
    </row>
    <row r="1535" spans="1:8">
      <c r="A1535" s="5">
        <v>1323</v>
      </c>
      <c r="B1535" s="6" t="str">
        <f>"张珍珍"</f>
        <v>张珍珍</v>
      </c>
      <c r="C1535" s="6" t="str">
        <f t="shared" si="74"/>
        <v>女</v>
      </c>
      <c r="D1535" s="6" t="str">
        <f>"202118031708"</f>
        <v>202118031708</v>
      </c>
      <c r="E1535" s="10" t="s">
        <v>20</v>
      </c>
      <c r="F1535" s="6" t="s">
        <v>12</v>
      </c>
      <c r="G1535" s="8">
        <v>68.400000000000006</v>
      </c>
      <c r="H1535" s="6"/>
    </row>
    <row r="1536" spans="1:8">
      <c r="A1536" s="5">
        <v>1236</v>
      </c>
      <c r="B1536" s="6" t="str">
        <f>"曾珍"</f>
        <v>曾珍</v>
      </c>
      <c r="C1536" s="6" t="str">
        <f t="shared" si="74"/>
        <v>女</v>
      </c>
      <c r="D1536" s="6" t="str">
        <f>"202118031709"</f>
        <v>202118031709</v>
      </c>
      <c r="E1536" s="10" t="s">
        <v>20</v>
      </c>
      <c r="F1536" s="6" t="s">
        <v>12</v>
      </c>
      <c r="G1536" s="8">
        <v>74.599999999999994</v>
      </c>
      <c r="H1536" s="12"/>
    </row>
    <row r="1537" spans="1:8">
      <c r="A1537" s="5">
        <v>1267</v>
      </c>
      <c r="B1537" s="6" t="str">
        <f>"蒋红姣"</f>
        <v>蒋红姣</v>
      </c>
      <c r="C1537" s="6" t="str">
        <f t="shared" si="74"/>
        <v>女</v>
      </c>
      <c r="D1537" s="6" t="str">
        <f>"202118031710"</f>
        <v>202118031710</v>
      </c>
      <c r="E1537" s="10" t="s">
        <v>20</v>
      </c>
      <c r="F1537" s="6" t="s">
        <v>12</v>
      </c>
      <c r="G1537" s="8">
        <v>61.5</v>
      </c>
      <c r="H1537" s="6"/>
    </row>
    <row r="1538" spans="1:8">
      <c r="A1538" s="5">
        <v>1301</v>
      </c>
      <c r="B1538" s="6" t="str">
        <f>"曾霈"</f>
        <v>曾霈</v>
      </c>
      <c r="C1538" s="6" t="str">
        <f t="shared" si="74"/>
        <v>女</v>
      </c>
      <c r="D1538" s="6" t="str">
        <f>"202118031711"</f>
        <v>202118031711</v>
      </c>
      <c r="E1538" s="10" t="s">
        <v>20</v>
      </c>
      <c r="F1538" s="6" t="s">
        <v>12</v>
      </c>
      <c r="G1538" s="8">
        <v>88.25</v>
      </c>
      <c r="H1538" s="6"/>
    </row>
    <row r="1539" spans="1:8">
      <c r="A1539" s="5">
        <v>1314</v>
      </c>
      <c r="B1539" s="6" t="str">
        <f>"王源广"</f>
        <v>王源广</v>
      </c>
      <c r="C1539" s="6" t="str">
        <f>"男"</f>
        <v>男</v>
      </c>
      <c r="D1539" s="6" t="str">
        <f>"202118031712"</f>
        <v>202118031712</v>
      </c>
      <c r="E1539" s="10" t="s">
        <v>20</v>
      </c>
      <c r="F1539" s="6" t="s">
        <v>12</v>
      </c>
      <c r="G1539" s="8">
        <v>83.6</v>
      </c>
      <c r="H1539" s="6"/>
    </row>
    <row r="1540" spans="1:8">
      <c r="A1540" s="5">
        <v>1305</v>
      </c>
      <c r="B1540" s="6" t="str">
        <f>"左欣"</f>
        <v>左欣</v>
      </c>
      <c r="C1540" s="6" t="str">
        <f t="shared" ref="C1540:C1548" si="75">"女"</f>
        <v>女</v>
      </c>
      <c r="D1540" s="6" t="str">
        <f>"202118031713"</f>
        <v>202118031713</v>
      </c>
      <c r="E1540" s="10" t="s">
        <v>20</v>
      </c>
      <c r="F1540" s="6" t="s">
        <v>12</v>
      </c>
      <c r="G1540" s="8">
        <v>53.3</v>
      </c>
      <c r="H1540" s="6"/>
    </row>
    <row r="1541" spans="1:8">
      <c r="A1541" s="5">
        <v>1382</v>
      </c>
      <c r="B1541" s="6" t="str">
        <f>"唐文娟"</f>
        <v>唐文娟</v>
      </c>
      <c r="C1541" s="6" t="str">
        <f t="shared" si="75"/>
        <v>女</v>
      </c>
      <c r="D1541" s="6" t="str">
        <f>"202119040301"</f>
        <v>202119040301</v>
      </c>
      <c r="E1541" s="10" t="s">
        <v>20</v>
      </c>
      <c r="F1541" s="6" t="s">
        <v>21</v>
      </c>
      <c r="G1541" s="8">
        <v>65.099999999999994</v>
      </c>
      <c r="H1541" s="6"/>
    </row>
    <row r="1542" spans="1:8">
      <c r="A1542" s="5">
        <v>1344</v>
      </c>
      <c r="B1542" s="6" t="str">
        <f>"吴涵柔"</f>
        <v>吴涵柔</v>
      </c>
      <c r="C1542" s="6" t="str">
        <f t="shared" si="75"/>
        <v>女</v>
      </c>
      <c r="D1542" s="6" t="str">
        <f>"202119040302"</f>
        <v>202119040302</v>
      </c>
      <c r="E1542" s="10" t="s">
        <v>20</v>
      </c>
      <c r="F1542" s="6" t="s">
        <v>21</v>
      </c>
      <c r="G1542" s="8">
        <v>68.900000000000006</v>
      </c>
      <c r="H1542" s="6"/>
    </row>
    <row r="1543" spans="1:8">
      <c r="A1543" s="5">
        <v>1386</v>
      </c>
      <c r="B1543" s="6" t="str">
        <f>"周璇"</f>
        <v>周璇</v>
      </c>
      <c r="C1543" s="6" t="str">
        <f t="shared" si="75"/>
        <v>女</v>
      </c>
      <c r="D1543" s="6" t="str">
        <f>"202119040303"</f>
        <v>202119040303</v>
      </c>
      <c r="E1543" s="10" t="s">
        <v>20</v>
      </c>
      <c r="F1543" s="6" t="s">
        <v>21</v>
      </c>
      <c r="G1543" s="8">
        <v>78.8</v>
      </c>
      <c r="H1543" s="6"/>
    </row>
    <row r="1544" spans="1:8">
      <c r="A1544" s="5">
        <v>1393</v>
      </c>
      <c r="B1544" s="6" t="str">
        <f>"曾欣亚"</f>
        <v>曾欣亚</v>
      </c>
      <c r="C1544" s="6" t="str">
        <f t="shared" si="75"/>
        <v>女</v>
      </c>
      <c r="D1544" s="6" t="str">
        <f>"202119040304"</f>
        <v>202119040304</v>
      </c>
      <c r="E1544" s="10" t="s">
        <v>20</v>
      </c>
      <c r="F1544" s="6" t="s">
        <v>21</v>
      </c>
      <c r="G1544" s="8">
        <v>47.75</v>
      </c>
      <c r="H1544" s="6"/>
    </row>
    <row r="1545" spans="1:8">
      <c r="A1545" s="5">
        <v>1392</v>
      </c>
      <c r="B1545" s="6" t="str">
        <f>"银静"</f>
        <v>银静</v>
      </c>
      <c r="C1545" s="6" t="str">
        <f t="shared" si="75"/>
        <v>女</v>
      </c>
      <c r="D1545" s="6" t="str">
        <f>"202119040305"</f>
        <v>202119040305</v>
      </c>
      <c r="E1545" s="10" t="s">
        <v>20</v>
      </c>
      <c r="F1545" s="6" t="s">
        <v>21</v>
      </c>
      <c r="G1545" s="8">
        <v>73.75</v>
      </c>
      <c r="H1545" s="6"/>
    </row>
    <row r="1546" spans="1:8">
      <c r="A1546" s="5">
        <v>1378</v>
      </c>
      <c r="B1546" s="6" t="str">
        <f>"张晶娜"</f>
        <v>张晶娜</v>
      </c>
      <c r="C1546" s="6" t="str">
        <f t="shared" si="75"/>
        <v>女</v>
      </c>
      <c r="D1546" s="6" t="str">
        <f>"202119040306"</f>
        <v>202119040306</v>
      </c>
      <c r="E1546" s="10" t="s">
        <v>20</v>
      </c>
      <c r="F1546" s="6" t="s">
        <v>21</v>
      </c>
      <c r="G1546" s="8">
        <v>61.55</v>
      </c>
      <c r="H1546" s="6"/>
    </row>
    <row r="1547" spans="1:8">
      <c r="A1547" s="5">
        <v>1374</v>
      </c>
      <c r="B1547" s="6" t="str">
        <f>"孟子玺"</f>
        <v>孟子玺</v>
      </c>
      <c r="C1547" s="6" t="str">
        <f t="shared" si="75"/>
        <v>女</v>
      </c>
      <c r="D1547" s="6" t="str">
        <f>"202119040307"</f>
        <v>202119040307</v>
      </c>
      <c r="E1547" s="10" t="s">
        <v>20</v>
      </c>
      <c r="F1547" s="6" t="s">
        <v>21</v>
      </c>
      <c r="G1547" s="8">
        <v>65.45</v>
      </c>
      <c r="H1547" s="6"/>
    </row>
    <row r="1548" spans="1:8">
      <c r="A1548" s="5">
        <v>1387</v>
      </c>
      <c r="B1548" s="6" t="str">
        <f>"刘夏君"</f>
        <v>刘夏君</v>
      </c>
      <c r="C1548" s="6" t="str">
        <f t="shared" si="75"/>
        <v>女</v>
      </c>
      <c r="D1548" s="6" t="str">
        <f>"202119040308"</f>
        <v>202119040308</v>
      </c>
      <c r="E1548" s="10" t="s">
        <v>20</v>
      </c>
      <c r="F1548" s="6" t="s">
        <v>21</v>
      </c>
      <c r="G1548" s="8">
        <v>83.45</v>
      </c>
      <c r="H1548" s="6"/>
    </row>
    <row r="1549" spans="1:8">
      <c r="A1549" s="5">
        <v>1357</v>
      </c>
      <c r="B1549" s="6" t="str">
        <f>"肖远之"</f>
        <v>肖远之</v>
      </c>
      <c r="C1549" s="6" t="str">
        <f>"男"</f>
        <v>男</v>
      </c>
      <c r="D1549" s="6" t="str">
        <f>"202119040309"</f>
        <v>202119040309</v>
      </c>
      <c r="E1549" s="10" t="s">
        <v>20</v>
      </c>
      <c r="F1549" s="6" t="s">
        <v>21</v>
      </c>
      <c r="G1549" s="8">
        <v>58.15</v>
      </c>
      <c r="H1549" s="6"/>
    </row>
    <row r="1550" spans="1:8">
      <c r="A1550" s="5">
        <v>1384</v>
      </c>
      <c r="B1550" s="6" t="str">
        <f>"孙伯珂"</f>
        <v>孙伯珂</v>
      </c>
      <c r="C1550" s="6" t="str">
        <f t="shared" ref="C1550:C1558" si="76">"女"</f>
        <v>女</v>
      </c>
      <c r="D1550" s="6" t="str">
        <f>"202119040310"</f>
        <v>202119040310</v>
      </c>
      <c r="E1550" s="10" t="s">
        <v>20</v>
      </c>
      <c r="F1550" s="6" t="s">
        <v>21</v>
      </c>
      <c r="G1550" s="8">
        <v>58.4</v>
      </c>
      <c r="H1550" s="6"/>
    </row>
    <row r="1551" spans="1:8">
      <c r="A1551" s="5">
        <v>1391</v>
      </c>
      <c r="B1551" s="6" t="str">
        <f>"谢静"</f>
        <v>谢静</v>
      </c>
      <c r="C1551" s="6" t="str">
        <f t="shared" si="76"/>
        <v>女</v>
      </c>
      <c r="D1551" s="6" t="str">
        <f>"202119040311"</f>
        <v>202119040311</v>
      </c>
      <c r="E1551" s="10" t="s">
        <v>20</v>
      </c>
      <c r="F1551" s="6" t="s">
        <v>21</v>
      </c>
      <c r="G1551" s="8">
        <v>58.4</v>
      </c>
      <c r="H1551" s="6"/>
    </row>
    <row r="1552" spans="1:8">
      <c r="A1552" s="5">
        <v>1359</v>
      </c>
      <c r="B1552" s="6" t="str">
        <f>"陈霞"</f>
        <v>陈霞</v>
      </c>
      <c r="C1552" s="6" t="str">
        <f t="shared" si="76"/>
        <v>女</v>
      </c>
      <c r="D1552" s="6" t="str">
        <f>"202119040312"</f>
        <v>202119040312</v>
      </c>
      <c r="E1552" s="10" t="s">
        <v>20</v>
      </c>
      <c r="F1552" s="6" t="s">
        <v>21</v>
      </c>
      <c r="G1552" s="8">
        <v>0</v>
      </c>
      <c r="H1552" s="9">
        <v>1</v>
      </c>
    </row>
    <row r="1553" spans="1:8">
      <c r="A1553" s="5">
        <v>1356</v>
      </c>
      <c r="B1553" s="6" t="str">
        <f>"江海清"</f>
        <v>江海清</v>
      </c>
      <c r="C1553" s="6" t="str">
        <f t="shared" si="76"/>
        <v>女</v>
      </c>
      <c r="D1553" s="6" t="str">
        <f>"202119040313"</f>
        <v>202119040313</v>
      </c>
      <c r="E1553" s="10" t="s">
        <v>20</v>
      </c>
      <c r="F1553" s="6" t="s">
        <v>21</v>
      </c>
      <c r="G1553" s="8">
        <v>54.2</v>
      </c>
      <c r="H1553" s="6"/>
    </row>
    <row r="1554" spans="1:8">
      <c r="A1554" s="5">
        <v>1390</v>
      </c>
      <c r="B1554" s="6" t="str">
        <f>"王二蓉"</f>
        <v>王二蓉</v>
      </c>
      <c r="C1554" s="6" t="str">
        <f t="shared" si="76"/>
        <v>女</v>
      </c>
      <c r="D1554" s="6" t="str">
        <f>"202119040314"</f>
        <v>202119040314</v>
      </c>
      <c r="E1554" s="10" t="s">
        <v>20</v>
      </c>
      <c r="F1554" s="6" t="s">
        <v>21</v>
      </c>
      <c r="G1554" s="8">
        <v>54.45</v>
      </c>
      <c r="H1554" s="6"/>
    </row>
    <row r="1555" spans="1:8">
      <c r="A1555" s="5">
        <v>1380</v>
      </c>
      <c r="B1555" s="6" t="str">
        <f>"林菲"</f>
        <v>林菲</v>
      </c>
      <c r="C1555" s="6" t="str">
        <f t="shared" si="76"/>
        <v>女</v>
      </c>
      <c r="D1555" s="6" t="str">
        <f>"202119040315"</f>
        <v>202119040315</v>
      </c>
      <c r="E1555" s="10" t="s">
        <v>20</v>
      </c>
      <c r="F1555" s="6" t="s">
        <v>21</v>
      </c>
      <c r="G1555" s="8">
        <v>72.8</v>
      </c>
      <c r="H1555" s="6"/>
    </row>
    <row r="1556" spans="1:8">
      <c r="A1556" s="5">
        <v>1354</v>
      </c>
      <c r="B1556" s="6" t="str">
        <f>"张凡杰"</f>
        <v>张凡杰</v>
      </c>
      <c r="C1556" s="6" t="str">
        <f t="shared" si="76"/>
        <v>女</v>
      </c>
      <c r="D1556" s="6" t="str">
        <f>"202119040316"</f>
        <v>202119040316</v>
      </c>
      <c r="E1556" s="10" t="s">
        <v>20</v>
      </c>
      <c r="F1556" s="6" t="s">
        <v>21</v>
      </c>
      <c r="G1556" s="8">
        <v>67.150000000000006</v>
      </c>
      <c r="H1556" s="6"/>
    </row>
    <row r="1557" spans="1:8">
      <c r="A1557" s="5">
        <v>1345</v>
      </c>
      <c r="B1557" s="6" t="str">
        <f>"殷姿"</f>
        <v>殷姿</v>
      </c>
      <c r="C1557" s="6" t="str">
        <f t="shared" si="76"/>
        <v>女</v>
      </c>
      <c r="D1557" s="6" t="str">
        <f>"202119040317"</f>
        <v>202119040317</v>
      </c>
      <c r="E1557" s="10" t="s">
        <v>20</v>
      </c>
      <c r="F1557" s="6" t="s">
        <v>21</v>
      </c>
      <c r="G1557" s="8">
        <v>0</v>
      </c>
      <c r="H1557" s="9">
        <v>1</v>
      </c>
    </row>
    <row r="1558" spans="1:8">
      <c r="A1558" s="5">
        <v>1379</v>
      </c>
      <c r="B1558" s="6" t="str">
        <f>"吴慧"</f>
        <v>吴慧</v>
      </c>
      <c r="C1558" s="6" t="str">
        <f t="shared" si="76"/>
        <v>女</v>
      </c>
      <c r="D1558" s="6" t="str">
        <f>"202119040318"</f>
        <v>202119040318</v>
      </c>
      <c r="E1558" s="10" t="s">
        <v>20</v>
      </c>
      <c r="F1558" s="6" t="s">
        <v>21</v>
      </c>
      <c r="G1558" s="8">
        <v>51.65</v>
      </c>
      <c r="H1558" s="6"/>
    </row>
    <row r="1559" spans="1:8">
      <c r="A1559" s="5">
        <v>1363</v>
      </c>
      <c r="B1559" s="6" t="str">
        <f>"周阿奇"</f>
        <v>周阿奇</v>
      </c>
      <c r="C1559" s="6" t="str">
        <f>"男"</f>
        <v>男</v>
      </c>
      <c r="D1559" s="6" t="str">
        <f>"202119040319"</f>
        <v>202119040319</v>
      </c>
      <c r="E1559" s="10" t="s">
        <v>20</v>
      </c>
      <c r="F1559" s="6" t="s">
        <v>21</v>
      </c>
      <c r="G1559" s="8">
        <v>57.1</v>
      </c>
      <c r="H1559" s="6"/>
    </row>
    <row r="1560" spans="1:8">
      <c r="A1560" s="5">
        <v>1351</v>
      </c>
      <c r="B1560" s="6" t="str">
        <f>"李枫丹"</f>
        <v>李枫丹</v>
      </c>
      <c r="C1560" s="6" t="str">
        <f>"女"</f>
        <v>女</v>
      </c>
      <c r="D1560" s="6" t="str">
        <f>"202119040320"</f>
        <v>202119040320</v>
      </c>
      <c r="E1560" s="10" t="s">
        <v>20</v>
      </c>
      <c r="F1560" s="6" t="s">
        <v>21</v>
      </c>
      <c r="G1560" s="8">
        <v>0</v>
      </c>
      <c r="H1560" s="9">
        <v>1</v>
      </c>
    </row>
    <row r="1561" spans="1:8">
      <c r="A1561" s="5">
        <v>1362</v>
      </c>
      <c r="B1561" s="6" t="str">
        <f>"陈金琳"</f>
        <v>陈金琳</v>
      </c>
      <c r="C1561" s="6" t="str">
        <f>"女"</f>
        <v>女</v>
      </c>
      <c r="D1561" s="6" t="str">
        <f>"202119040321"</f>
        <v>202119040321</v>
      </c>
      <c r="E1561" s="10" t="s">
        <v>20</v>
      </c>
      <c r="F1561" s="6" t="s">
        <v>21</v>
      </c>
      <c r="G1561" s="8">
        <v>79.349999999999994</v>
      </c>
      <c r="H1561" s="6"/>
    </row>
    <row r="1562" spans="1:8">
      <c r="A1562" s="5">
        <v>1376</v>
      </c>
      <c r="B1562" s="6" t="str">
        <f>"唐雅琪"</f>
        <v>唐雅琪</v>
      </c>
      <c r="C1562" s="6" t="str">
        <f>"女"</f>
        <v>女</v>
      </c>
      <c r="D1562" s="6" t="str">
        <f>"202119040322"</f>
        <v>202119040322</v>
      </c>
      <c r="E1562" s="10" t="s">
        <v>20</v>
      </c>
      <c r="F1562" s="6" t="s">
        <v>21</v>
      </c>
      <c r="G1562" s="8">
        <v>64.3</v>
      </c>
      <c r="H1562" s="6"/>
    </row>
    <row r="1563" spans="1:8">
      <c r="A1563" s="5">
        <v>1352</v>
      </c>
      <c r="B1563" s="6" t="str">
        <f>"刘梦汝"</f>
        <v>刘梦汝</v>
      </c>
      <c r="C1563" s="6" t="str">
        <f>"男"</f>
        <v>男</v>
      </c>
      <c r="D1563" s="6" t="str">
        <f>"202119040323"</f>
        <v>202119040323</v>
      </c>
      <c r="E1563" s="10" t="s">
        <v>20</v>
      </c>
      <c r="F1563" s="6" t="s">
        <v>21</v>
      </c>
      <c r="G1563" s="8">
        <v>0</v>
      </c>
      <c r="H1563" s="9">
        <v>1</v>
      </c>
    </row>
    <row r="1564" spans="1:8">
      <c r="A1564" s="5">
        <v>1347</v>
      </c>
      <c r="B1564" s="6" t="str">
        <f>"段茹洁"</f>
        <v>段茹洁</v>
      </c>
      <c r="C1564" s="6" t="str">
        <f>"女"</f>
        <v>女</v>
      </c>
      <c r="D1564" s="6" t="str">
        <f>"202119040324"</f>
        <v>202119040324</v>
      </c>
      <c r="E1564" s="10" t="s">
        <v>20</v>
      </c>
      <c r="F1564" s="6" t="s">
        <v>21</v>
      </c>
      <c r="G1564" s="8">
        <v>57.25</v>
      </c>
      <c r="H1564" s="6"/>
    </row>
    <row r="1565" spans="1:8">
      <c r="A1565" s="5">
        <v>1396</v>
      </c>
      <c r="B1565" s="6" t="str">
        <f>"向廷"</f>
        <v>向廷</v>
      </c>
      <c r="C1565" s="6" t="str">
        <f>"女"</f>
        <v>女</v>
      </c>
      <c r="D1565" s="6" t="str">
        <f>"202119040325"</f>
        <v>202119040325</v>
      </c>
      <c r="E1565" s="10" t="s">
        <v>20</v>
      </c>
      <c r="F1565" s="6" t="s">
        <v>21</v>
      </c>
      <c r="G1565" s="8">
        <v>67</v>
      </c>
      <c r="H1565" s="6"/>
    </row>
    <row r="1566" spans="1:8">
      <c r="A1566" s="5">
        <v>1364</v>
      </c>
      <c r="B1566" s="6" t="str">
        <f>"张天运"</f>
        <v>张天运</v>
      </c>
      <c r="C1566" s="6" t="str">
        <f>"男"</f>
        <v>男</v>
      </c>
      <c r="D1566" s="6" t="str">
        <f>"202119040326"</f>
        <v>202119040326</v>
      </c>
      <c r="E1566" s="10" t="s">
        <v>20</v>
      </c>
      <c r="F1566" s="6" t="s">
        <v>21</v>
      </c>
      <c r="G1566" s="8">
        <v>79.099999999999994</v>
      </c>
      <c r="H1566" s="6"/>
    </row>
    <row r="1567" spans="1:8">
      <c r="A1567" s="5">
        <v>1361</v>
      </c>
      <c r="B1567" s="6" t="str">
        <f>"潘会芳"</f>
        <v>潘会芳</v>
      </c>
      <c r="C1567" s="6" t="str">
        <f>"女"</f>
        <v>女</v>
      </c>
      <c r="D1567" s="6" t="str">
        <f>"202119040327"</f>
        <v>202119040327</v>
      </c>
      <c r="E1567" s="10" t="s">
        <v>20</v>
      </c>
      <c r="F1567" s="6" t="s">
        <v>21</v>
      </c>
      <c r="G1567" s="8">
        <v>62.4</v>
      </c>
      <c r="H1567" s="6"/>
    </row>
    <row r="1568" spans="1:8">
      <c r="A1568" s="5">
        <v>1373</v>
      </c>
      <c r="B1568" s="6" t="str">
        <f>"谢建伟"</f>
        <v>谢建伟</v>
      </c>
      <c r="C1568" s="6" t="str">
        <f>"男"</f>
        <v>男</v>
      </c>
      <c r="D1568" s="6" t="str">
        <f>"202119040328"</f>
        <v>202119040328</v>
      </c>
      <c r="E1568" s="10" t="s">
        <v>20</v>
      </c>
      <c r="F1568" s="6" t="s">
        <v>21</v>
      </c>
      <c r="G1568" s="8">
        <v>69.650000000000006</v>
      </c>
      <c r="H1568" s="6"/>
    </row>
    <row r="1569" spans="1:8">
      <c r="A1569" s="5">
        <v>1383</v>
      </c>
      <c r="B1569" s="6" t="str">
        <f>"王茜"</f>
        <v>王茜</v>
      </c>
      <c r="C1569" s="6" t="str">
        <f>"女"</f>
        <v>女</v>
      </c>
      <c r="D1569" s="6" t="str">
        <f>"202119040329"</f>
        <v>202119040329</v>
      </c>
      <c r="E1569" s="10" t="s">
        <v>20</v>
      </c>
      <c r="F1569" s="6" t="s">
        <v>21</v>
      </c>
      <c r="G1569" s="8">
        <v>33.15</v>
      </c>
      <c r="H1569" s="6"/>
    </row>
    <row r="1570" spans="1:8">
      <c r="A1570" s="5">
        <v>1368</v>
      </c>
      <c r="B1570" s="6" t="str">
        <f>"龙妮"</f>
        <v>龙妮</v>
      </c>
      <c r="C1570" s="6" t="str">
        <f>"女"</f>
        <v>女</v>
      </c>
      <c r="D1570" s="6" t="str">
        <f>"202119040330"</f>
        <v>202119040330</v>
      </c>
      <c r="E1570" s="10" t="s">
        <v>20</v>
      </c>
      <c r="F1570" s="6" t="s">
        <v>21</v>
      </c>
      <c r="G1570" s="8">
        <v>58.95</v>
      </c>
      <c r="H1570" s="6"/>
    </row>
    <row r="1571" spans="1:8">
      <c r="A1571" s="5">
        <v>1349</v>
      </c>
      <c r="B1571" s="6" t="str">
        <f>"陈鹏"</f>
        <v>陈鹏</v>
      </c>
      <c r="C1571" s="6" t="str">
        <f>"男"</f>
        <v>男</v>
      </c>
      <c r="D1571" s="6" t="str">
        <f>"202119040401"</f>
        <v>202119040401</v>
      </c>
      <c r="E1571" s="10" t="s">
        <v>20</v>
      </c>
      <c r="F1571" s="6" t="s">
        <v>21</v>
      </c>
      <c r="G1571" s="8">
        <v>72.900000000000006</v>
      </c>
      <c r="H1571" s="6"/>
    </row>
    <row r="1572" spans="1:8">
      <c r="A1572" s="5">
        <v>1346</v>
      </c>
      <c r="B1572" s="6" t="str">
        <f>"杨婷婷"</f>
        <v>杨婷婷</v>
      </c>
      <c r="C1572" s="6" t="str">
        <f t="shared" ref="C1572:C1589" si="77">"女"</f>
        <v>女</v>
      </c>
      <c r="D1572" s="6" t="str">
        <f>"202119040402"</f>
        <v>202119040402</v>
      </c>
      <c r="E1572" s="10" t="s">
        <v>20</v>
      </c>
      <c r="F1572" s="6" t="s">
        <v>21</v>
      </c>
      <c r="G1572" s="8">
        <v>0</v>
      </c>
      <c r="H1572" s="9">
        <v>1</v>
      </c>
    </row>
    <row r="1573" spans="1:8">
      <c r="A1573" s="5">
        <v>1360</v>
      </c>
      <c r="B1573" s="6" t="str">
        <f>"王小宁"</f>
        <v>王小宁</v>
      </c>
      <c r="C1573" s="6" t="str">
        <f t="shared" si="77"/>
        <v>女</v>
      </c>
      <c r="D1573" s="6" t="str">
        <f>"202119040403"</f>
        <v>202119040403</v>
      </c>
      <c r="E1573" s="10" t="s">
        <v>20</v>
      </c>
      <c r="F1573" s="6" t="s">
        <v>21</v>
      </c>
      <c r="G1573" s="8">
        <v>46.35</v>
      </c>
      <c r="H1573" s="6"/>
    </row>
    <row r="1574" spans="1:8">
      <c r="A1574" s="5">
        <v>1389</v>
      </c>
      <c r="B1574" s="6" t="str">
        <f>"林安妮"</f>
        <v>林安妮</v>
      </c>
      <c r="C1574" s="6" t="str">
        <f t="shared" si="77"/>
        <v>女</v>
      </c>
      <c r="D1574" s="6" t="str">
        <f>"202119040404"</f>
        <v>202119040404</v>
      </c>
      <c r="E1574" s="10" t="s">
        <v>20</v>
      </c>
      <c r="F1574" s="6" t="s">
        <v>21</v>
      </c>
      <c r="G1574" s="8">
        <v>49.45</v>
      </c>
      <c r="H1574" s="6"/>
    </row>
    <row r="1575" spans="1:8">
      <c r="A1575" s="5">
        <v>1371</v>
      </c>
      <c r="B1575" s="6" t="str">
        <f>"邓钫文"</f>
        <v>邓钫文</v>
      </c>
      <c r="C1575" s="6" t="str">
        <f t="shared" si="77"/>
        <v>女</v>
      </c>
      <c r="D1575" s="6" t="str">
        <f>"202119040405"</f>
        <v>202119040405</v>
      </c>
      <c r="E1575" s="10" t="s">
        <v>20</v>
      </c>
      <c r="F1575" s="6" t="s">
        <v>21</v>
      </c>
      <c r="G1575" s="8">
        <v>69.650000000000006</v>
      </c>
      <c r="H1575" s="6"/>
    </row>
    <row r="1576" spans="1:8">
      <c r="A1576" s="5">
        <v>1353</v>
      </c>
      <c r="B1576" s="6" t="str">
        <f>"田昆"</f>
        <v>田昆</v>
      </c>
      <c r="C1576" s="6" t="str">
        <f t="shared" si="77"/>
        <v>女</v>
      </c>
      <c r="D1576" s="6" t="str">
        <f>"202119040406"</f>
        <v>202119040406</v>
      </c>
      <c r="E1576" s="10" t="s">
        <v>20</v>
      </c>
      <c r="F1576" s="6" t="s">
        <v>21</v>
      </c>
      <c r="G1576" s="8">
        <v>0</v>
      </c>
      <c r="H1576" s="9">
        <v>1</v>
      </c>
    </row>
    <row r="1577" spans="1:8">
      <c r="A1577" s="5">
        <v>1348</v>
      </c>
      <c r="B1577" s="6" t="str">
        <f>"曾卞颖"</f>
        <v>曾卞颖</v>
      </c>
      <c r="C1577" s="6" t="str">
        <f t="shared" si="77"/>
        <v>女</v>
      </c>
      <c r="D1577" s="6" t="str">
        <f>"202119040407"</f>
        <v>202119040407</v>
      </c>
      <c r="E1577" s="10" t="s">
        <v>20</v>
      </c>
      <c r="F1577" s="6" t="s">
        <v>21</v>
      </c>
      <c r="G1577" s="8">
        <v>0</v>
      </c>
      <c r="H1577" s="9">
        <v>1</v>
      </c>
    </row>
    <row r="1578" spans="1:8">
      <c r="A1578" s="5">
        <v>1358</v>
      </c>
      <c r="B1578" s="6" t="str">
        <f>"陈华英"</f>
        <v>陈华英</v>
      </c>
      <c r="C1578" s="6" t="str">
        <f t="shared" si="77"/>
        <v>女</v>
      </c>
      <c r="D1578" s="6" t="str">
        <f>"202119040408"</f>
        <v>202119040408</v>
      </c>
      <c r="E1578" s="10" t="s">
        <v>20</v>
      </c>
      <c r="F1578" s="6" t="s">
        <v>21</v>
      </c>
      <c r="G1578" s="8">
        <v>35.85</v>
      </c>
      <c r="H1578" s="6"/>
    </row>
    <row r="1579" spans="1:8">
      <c r="A1579" s="5">
        <v>1375</v>
      </c>
      <c r="B1579" s="6" t="str">
        <f>"苏丽城"</f>
        <v>苏丽城</v>
      </c>
      <c r="C1579" s="6" t="str">
        <f t="shared" si="77"/>
        <v>女</v>
      </c>
      <c r="D1579" s="6" t="str">
        <f>"202119040409"</f>
        <v>202119040409</v>
      </c>
      <c r="E1579" s="10" t="s">
        <v>20</v>
      </c>
      <c r="F1579" s="6" t="s">
        <v>21</v>
      </c>
      <c r="G1579" s="8">
        <v>68.5</v>
      </c>
      <c r="H1579" s="6"/>
    </row>
    <row r="1580" spans="1:8">
      <c r="A1580" s="5">
        <v>1395</v>
      </c>
      <c r="B1580" s="6" t="str">
        <f>"罗满凤"</f>
        <v>罗满凤</v>
      </c>
      <c r="C1580" s="6" t="str">
        <f t="shared" si="77"/>
        <v>女</v>
      </c>
      <c r="D1580" s="6" t="str">
        <f>"202119040410"</f>
        <v>202119040410</v>
      </c>
      <c r="E1580" s="10" t="s">
        <v>20</v>
      </c>
      <c r="F1580" s="6" t="s">
        <v>21</v>
      </c>
      <c r="G1580" s="8">
        <v>53.95</v>
      </c>
      <c r="H1580" s="6"/>
    </row>
    <row r="1581" spans="1:8">
      <c r="A1581" s="5">
        <v>1372</v>
      </c>
      <c r="B1581" s="6" t="str">
        <f>"戴金连"</f>
        <v>戴金连</v>
      </c>
      <c r="C1581" s="6" t="str">
        <f t="shared" si="77"/>
        <v>女</v>
      </c>
      <c r="D1581" s="6" t="str">
        <f>"202119040411"</f>
        <v>202119040411</v>
      </c>
      <c r="E1581" s="10" t="s">
        <v>20</v>
      </c>
      <c r="F1581" s="6" t="s">
        <v>21</v>
      </c>
      <c r="G1581" s="8">
        <v>67.650000000000006</v>
      </c>
      <c r="H1581" s="6"/>
    </row>
    <row r="1582" spans="1:8">
      <c r="A1582" s="5">
        <v>1350</v>
      </c>
      <c r="B1582" s="6" t="str">
        <f>"刘欣欣"</f>
        <v>刘欣欣</v>
      </c>
      <c r="C1582" s="6" t="str">
        <f t="shared" si="77"/>
        <v>女</v>
      </c>
      <c r="D1582" s="6" t="str">
        <f>"202119040412"</f>
        <v>202119040412</v>
      </c>
      <c r="E1582" s="10" t="s">
        <v>20</v>
      </c>
      <c r="F1582" s="6" t="s">
        <v>21</v>
      </c>
      <c r="G1582" s="8">
        <v>66.8</v>
      </c>
      <c r="H1582" s="6"/>
    </row>
    <row r="1583" spans="1:8">
      <c r="A1583" s="5">
        <v>1369</v>
      </c>
      <c r="B1583" s="6" t="str">
        <f>"赵凡"</f>
        <v>赵凡</v>
      </c>
      <c r="C1583" s="6" t="str">
        <f t="shared" si="77"/>
        <v>女</v>
      </c>
      <c r="D1583" s="6" t="str">
        <f>"202119040413"</f>
        <v>202119040413</v>
      </c>
      <c r="E1583" s="10" t="s">
        <v>20</v>
      </c>
      <c r="F1583" s="6" t="s">
        <v>21</v>
      </c>
      <c r="G1583" s="8">
        <v>69.95</v>
      </c>
      <c r="H1583" s="6"/>
    </row>
    <row r="1584" spans="1:8">
      <c r="A1584" s="5">
        <v>1385</v>
      </c>
      <c r="B1584" s="6" t="str">
        <f>"汤紫嫣"</f>
        <v>汤紫嫣</v>
      </c>
      <c r="C1584" s="6" t="str">
        <f t="shared" si="77"/>
        <v>女</v>
      </c>
      <c r="D1584" s="6" t="str">
        <f>"202119040414"</f>
        <v>202119040414</v>
      </c>
      <c r="E1584" s="10" t="s">
        <v>20</v>
      </c>
      <c r="F1584" s="6" t="s">
        <v>21</v>
      </c>
      <c r="G1584" s="8">
        <v>60.4</v>
      </c>
      <c r="H1584" s="6"/>
    </row>
    <row r="1585" spans="1:8">
      <c r="A1585" s="5">
        <v>1370</v>
      </c>
      <c r="B1585" s="6" t="str">
        <f>"曾柔"</f>
        <v>曾柔</v>
      </c>
      <c r="C1585" s="6" t="str">
        <f t="shared" si="77"/>
        <v>女</v>
      </c>
      <c r="D1585" s="6" t="str">
        <f>"202119040415"</f>
        <v>202119040415</v>
      </c>
      <c r="E1585" s="10" t="s">
        <v>20</v>
      </c>
      <c r="F1585" s="6" t="s">
        <v>21</v>
      </c>
      <c r="G1585" s="8">
        <v>65.5</v>
      </c>
      <c r="H1585" s="6"/>
    </row>
    <row r="1586" spans="1:8">
      <c r="A1586" s="5">
        <v>1366</v>
      </c>
      <c r="B1586" s="6" t="str">
        <f>"邓思思"</f>
        <v>邓思思</v>
      </c>
      <c r="C1586" s="6" t="str">
        <f t="shared" si="77"/>
        <v>女</v>
      </c>
      <c r="D1586" s="6" t="str">
        <f>"202119040416"</f>
        <v>202119040416</v>
      </c>
      <c r="E1586" s="10" t="s">
        <v>20</v>
      </c>
      <c r="F1586" s="6" t="s">
        <v>21</v>
      </c>
      <c r="G1586" s="8">
        <v>69.55</v>
      </c>
      <c r="H1586" s="6"/>
    </row>
    <row r="1587" spans="1:8">
      <c r="A1587" s="5">
        <v>1365</v>
      </c>
      <c r="B1587" s="6" t="str">
        <f>"谢百慧"</f>
        <v>谢百慧</v>
      </c>
      <c r="C1587" s="6" t="str">
        <f t="shared" si="77"/>
        <v>女</v>
      </c>
      <c r="D1587" s="6" t="str">
        <f>"202119040417"</f>
        <v>202119040417</v>
      </c>
      <c r="E1587" s="10" t="s">
        <v>20</v>
      </c>
      <c r="F1587" s="6" t="s">
        <v>21</v>
      </c>
      <c r="G1587" s="8">
        <v>64.599999999999994</v>
      </c>
      <c r="H1587" s="6"/>
    </row>
    <row r="1588" spans="1:8">
      <c r="A1588" s="5">
        <v>1367</v>
      </c>
      <c r="B1588" s="6" t="str">
        <f>"孟旭敏"</f>
        <v>孟旭敏</v>
      </c>
      <c r="C1588" s="6" t="str">
        <f t="shared" si="77"/>
        <v>女</v>
      </c>
      <c r="D1588" s="6" t="str">
        <f>"202119040418"</f>
        <v>202119040418</v>
      </c>
      <c r="E1588" s="10" t="s">
        <v>20</v>
      </c>
      <c r="F1588" s="6" t="s">
        <v>21</v>
      </c>
      <c r="G1588" s="8">
        <v>48.95</v>
      </c>
      <c r="H1588" s="6"/>
    </row>
    <row r="1589" spans="1:8">
      <c r="A1589" s="5">
        <v>1394</v>
      </c>
      <c r="B1589" s="6" t="str">
        <f>"蒋英"</f>
        <v>蒋英</v>
      </c>
      <c r="C1589" s="6" t="str">
        <f t="shared" si="77"/>
        <v>女</v>
      </c>
      <c r="D1589" s="6" t="str">
        <f>"202119040419"</f>
        <v>202119040419</v>
      </c>
      <c r="E1589" s="10" t="s">
        <v>20</v>
      </c>
      <c r="F1589" s="6" t="s">
        <v>21</v>
      </c>
      <c r="G1589" s="8">
        <v>73.8</v>
      </c>
      <c r="H1589" s="6"/>
    </row>
    <row r="1590" spans="1:8">
      <c r="A1590" s="5">
        <v>1355</v>
      </c>
      <c r="B1590" s="6" t="str">
        <f>"郭杰"</f>
        <v>郭杰</v>
      </c>
      <c r="C1590" s="6" t="str">
        <f>"男"</f>
        <v>男</v>
      </c>
      <c r="D1590" s="6" t="str">
        <f>"202119040420"</f>
        <v>202119040420</v>
      </c>
      <c r="E1590" s="10" t="s">
        <v>20</v>
      </c>
      <c r="F1590" s="6" t="s">
        <v>21</v>
      </c>
      <c r="G1590" s="8">
        <v>63.4</v>
      </c>
      <c r="H1590" s="6"/>
    </row>
    <row r="1591" spans="1:8">
      <c r="A1591" s="5">
        <v>1388</v>
      </c>
      <c r="B1591" s="6" t="str">
        <f>"邱海容"</f>
        <v>邱海容</v>
      </c>
      <c r="C1591" s="6" t="str">
        <f t="shared" ref="C1591:C1622" si="78">"女"</f>
        <v>女</v>
      </c>
      <c r="D1591" s="6" t="str">
        <f>"202119040421"</f>
        <v>202119040421</v>
      </c>
      <c r="E1591" s="10" t="s">
        <v>20</v>
      </c>
      <c r="F1591" s="6" t="s">
        <v>21</v>
      </c>
      <c r="G1591" s="8">
        <v>73.95</v>
      </c>
      <c r="H1591" s="6"/>
    </row>
    <row r="1592" spans="1:8">
      <c r="A1592" s="5">
        <v>1377</v>
      </c>
      <c r="B1592" s="6" t="str">
        <f>"孙叶香"</f>
        <v>孙叶香</v>
      </c>
      <c r="C1592" s="6" t="str">
        <f t="shared" si="78"/>
        <v>女</v>
      </c>
      <c r="D1592" s="6" t="str">
        <f>"202119040422"</f>
        <v>202119040422</v>
      </c>
      <c r="E1592" s="10" t="s">
        <v>20</v>
      </c>
      <c r="F1592" s="6" t="s">
        <v>21</v>
      </c>
      <c r="G1592" s="8">
        <v>60.35</v>
      </c>
      <c r="H1592" s="6"/>
    </row>
    <row r="1593" spans="1:8">
      <c r="A1593" s="5">
        <v>1381</v>
      </c>
      <c r="B1593" s="6" t="str">
        <f>"杨嫔"</f>
        <v>杨嫔</v>
      </c>
      <c r="C1593" s="6" t="str">
        <f t="shared" si="78"/>
        <v>女</v>
      </c>
      <c r="D1593" s="6" t="str">
        <f>"202119040423"</f>
        <v>202119040423</v>
      </c>
      <c r="E1593" s="10" t="s">
        <v>20</v>
      </c>
      <c r="F1593" s="6" t="s">
        <v>21</v>
      </c>
      <c r="G1593" s="8">
        <v>52.65</v>
      </c>
      <c r="H1593" s="6"/>
    </row>
    <row r="1594" spans="1:8">
      <c r="A1594" s="5">
        <v>1478</v>
      </c>
      <c r="B1594" s="6" t="str">
        <f>"余茜"</f>
        <v>余茜</v>
      </c>
      <c r="C1594" s="6" t="str">
        <f t="shared" si="78"/>
        <v>女</v>
      </c>
      <c r="D1594" s="6" t="str">
        <f>"202120040424"</f>
        <v>202120040424</v>
      </c>
      <c r="E1594" s="10" t="s">
        <v>20</v>
      </c>
      <c r="F1594" s="6" t="s">
        <v>22</v>
      </c>
      <c r="G1594" s="8">
        <v>69.25</v>
      </c>
      <c r="H1594" s="6"/>
    </row>
    <row r="1595" spans="1:8">
      <c r="A1595" s="5">
        <v>1469</v>
      </c>
      <c r="B1595" s="6" t="str">
        <f>"张小玲"</f>
        <v>张小玲</v>
      </c>
      <c r="C1595" s="6" t="str">
        <f t="shared" si="78"/>
        <v>女</v>
      </c>
      <c r="D1595" s="6" t="str">
        <f>"202120040425"</f>
        <v>202120040425</v>
      </c>
      <c r="E1595" s="10" t="s">
        <v>20</v>
      </c>
      <c r="F1595" s="6" t="s">
        <v>22</v>
      </c>
      <c r="G1595" s="8">
        <v>62.35</v>
      </c>
      <c r="H1595" s="6"/>
    </row>
    <row r="1596" spans="1:8">
      <c r="A1596" s="5">
        <v>1434</v>
      </c>
      <c r="B1596" s="6" t="str">
        <f>"张欢"</f>
        <v>张欢</v>
      </c>
      <c r="C1596" s="6" t="str">
        <f t="shared" si="78"/>
        <v>女</v>
      </c>
      <c r="D1596" s="6" t="str">
        <f>"202120040426"</f>
        <v>202120040426</v>
      </c>
      <c r="E1596" s="10" t="s">
        <v>20</v>
      </c>
      <c r="F1596" s="6" t="s">
        <v>22</v>
      </c>
      <c r="G1596" s="8">
        <v>67.099999999999994</v>
      </c>
      <c r="H1596" s="6"/>
    </row>
    <row r="1597" spans="1:8">
      <c r="A1597" s="5">
        <v>1464</v>
      </c>
      <c r="B1597" s="6" t="str">
        <f>"田莉"</f>
        <v>田莉</v>
      </c>
      <c r="C1597" s="6" t="str">
        <f t="shared" si="78"/>
        <v>女</v>
      </c>
      <c r="D1597" s="6" t="str">
        <f>"202120040427"</f>
        <v>202120040427</v>
      </c>
      <c r="E1597" s="10" t="s">
        <v>20</v>
      </c>
      <c r="F1597" s="6" t="s">
        <v>22</v>
      </c>
      <c r="G1597" s="8">
        <v>64.5</v>
      </c>
      <c r="H1597" s="6"/>
    </row>
    <row r="1598" spans="1:8">
      <c r="A1598" s="5">
        <v>1480</v>
      </c>
      <c r="B1598" s="6" t="str">
        <f>"刘馨蔓"</f>
        <v>刘馨蔓</v>
      </c>
      <c r="C1598" s="6" t="str">
        <f t="shared" si="78"/>
        <v>女</v>
      </c>
      <c r="D1598" s="6" t="str">
        <f>"202120040428"</f>
        <v>202120040428</v>
      </c>
      <c r="E1598" s="10" t="s">
        <v>20</v>
      </c>
      <c r="F1598" s="6" t="s">
        <v>22</v>
      </c>
      <c r="G1598" s="8">
        <v>73.150000000000006</v>
      </c>
      <c r="H1598" s="6"/>
    </row>
    <row r="1599" spans="1:8">
      <c r="A1599" s="5">
        <v>1422</v>
      </c>
      <c r="B1599" s="6" t="str">
        <f>"吕歆如"</f>
        <v>吕歆如</v>
      </c>
      <c r="C1599" s="6" t="str">
        <f t="shared" si="78"/>
        <v>女</v>
      </c>
      <c r="D1599" s="6" t="str">
        <f>"202120040429"</f>
        <v>202120040429</v>
      </c>
      <c r="E1599" s="10" t="s">
        <v>20</v>
      </c>
      <c r="F1599" s="6" t="s">
        <v>22</v>
      </c>
      <c r="G1599" s="8">
        <v>0</v>
      </c>
      <c r="H1599" s="9">
        <v>1</v>
      </c>
    </row>
    <row r="1600" spans="1:8">
      <c r="A1600" s="5">
        <v>1479</v>
      </c>
      <c r="B1600" s="6" t="str">
        <f>"陈蓉蓉"</f>
        <v>陈蓉蓉</v>
      </c>
      <c r="C1600" s="6" t="str">
        <f t="shared" si="78"/>
        <v>女</v>
      </c>
      <c r="D1600" s="6" t="str">
        <f>"202120040430"</f>
        <v>202120040430</v>
      </c>
      <c r="E1600" s="10" t="s">
        <v>20</v>
      </c>
      <c r="F1600" s="6" t="s">
        <v>22</v>
      </c>
      <c r="G1600" s="8">
        <v>55.55</v>
      </c>
      <c r="H1600" s="6"/>
    </row>
    <row r="1601" spans="1:8">
      <c r="A1601" s="5">
        <v>1473</v>
      </c>
      <c r="B1601" s="6" t="str">
        <f>"伍蕾"</f>
        <v>伍蕾</v>
      </c>
      <c r="C1601" s="6" t="str">
        <f t="shared" si="78"/>
        <v>女</v>
      </c>
      <c r="D1601" s="6" t="str">
        <f>"202120040501"</f>
        <v>202120040501</v>
      </c>
      <c r="E1601" s="10" t="s">
        <v>20</v>
      </c>
      <c r="F1601" s="6" t="s">
        <v>22</v>
      </c>
      <c r="G1601" s="8">
        <v>27.1</v>
      </c>
      <c r="H1601" s="6"/>
    </row>
    <row r="1602" spans="1:8">
      <c r="A1602" s="5">
        <v>1437</v>
      </c>
      <c r="B1602" s="6" t="str">
        <f>"胡春枝"</f>
        <v>胡春枝</v>
      </c>
      <c r="C1602" s="6" t="str">
        <f t="shared" si="78"/>
        <v>女</v>
      </c>
      <c r="D1602" s="6" t="str">
        <f>"202120040502"</f>
        <v>202120040502</v>
      </c>
      <c r="E1602" s="10" t="s">
        <v>20</v>
      </c>
      <c r="F1602" s="6" t="s">
        <v>22</v>
      </c>
      <c r="G1602" s="8">
        <v>60.45</v>
      </c>
      <c r="H1602" s="6"/>
    </row>
    <row r="1603" spans="1:8">
      <c r="A1603" s="5">
        <v>1460</v>
      </c>
      <c r="B1603" s="6" t="str">
        <f>"刘璟瑶"</f>
        <v>刘璟瑶</v>
      </c>
      <c r="C1603" s="6" t="str">
        <f t="shared" si="78"/>
        <v>女</v>
      </c>
      <c r="D1603" s="6" t="str">
        <f>"202120040503"</f>
        <v>202120040503</v>
      </c>
      <c r="E1603" s="10" t="s">
        <v>20</v>
      </c>
      <c r="F1603" s="6" t="s">
        <v>22</v>
      </c>
      <c r="G1603" s="8">
        <v>72.05</v>
      </c>
      <c r="H1603" s="6"/>
    </row>
    <row r="1604" spans="1:8">
      <c r="A1604" s="5">
        <v>1446</v>
      </c>
      <c r="B1604" s="6" t="str">
        <f>"邓瑶"</f>
        <v>邓瑶</v>
      </c>
      <c r="C1604" s="6" t="str">
        <f t="shared" si="78"/>
        <v>女</v>
      </c>
      <c r="D1604" s="6" t="str">
        <f>"202120040504"</f>
        <v>202120040504</v>
      </c>
      <c r="E1604" s="10" t="s">
        <v>20</v>
      </c>
      <c r="F1604" s="6" t="s">
        <v>22</v>
      </c>
      <c r="G1604" s="8">
        <v>63.4</v>
      </c>
      <c r="H1604" s="6"/>
    </row>
    <row r="1605" spans="1:8">
      <c r="A1605" s="5">
        <v>1433</v>
      </c>
      <c r="B1605" s="6" t="str">
        <f>"刘雅婷"</f>
        <v>刘雅婷</v>
      </c>
      <c r="C1605" s="6" t="str">
        <f t="shared" si="78"/>
        <v>女</v>
      </c>
      <c r="D1605" s="6" t="str">
        <f>"202120040505"</f>
        <v>202120040505</v>
      </c>
      <c r="E1605" s="10" t="s">
        <v>20</v>
      </c>
      <c r="F1605" s="6" t="s">
        <v>22</v>
      </c>
      <c r="G1605" s="8">
        <v>57.35</v>
      </c>
      <c r="H1605" s="6"/>
    </row>
    <row r="1606" spans="1:8">
      <c r="A1606" s="5">
        <v>1466</v>
      </c>
      <c r="B1606" s="6" t="str">
        <f>"刘芬"</f>
        <v>刘芬</v>
      </c>
      <c r="C1606" s="6" t="str">
        <f t="shared" si="78"/>
        <v>女</v>
      </c>
      <c r="D1606" s="6" t="str">
        <f>"202120040506"</f>
        <v>202120040506</v>
      </c>
      <c r="E1606" s="10" t="s">
        <v>20</v>
      </c>
      <c r="F1606" s="6" t="s">
        <v>22</v>
      </c>
      <c r="G1606" s="8">
        <v>70.05</v>
      </c>
      <c r="H1606" s="6"/>
    </row>
    <row r="1607" spans="1:8">
      <c r="A1607" s="5">
        <v>1444</v>
      </c>
      <c r="B1607" s="6" t="str">
        <f>"肖丽容"</f>
        <v>肖丽容</v>
      </c>
      <c r="C1607" s="6" t="str">
        <f t="shared" si="78"/>
        <v>女</v>
      </c>
      <c r="D1607" s="6" t="str">
        <f>"202120040507"</f>
        <v>202120040507</v>
      </c>
      <c r="E1607" s="10" t="s">
        <v>20</v>
      </c>
      <c r="F1607" s="6" t="s">
        <v>22</v>
      </c>
      <c r="G1607" s="8">
        <v>59.85</v>
      </c>
      <c r="H1607" s="6"/>
    </row>
    <row r="1608" spans="1:8">
      <c r="A1608" s="5">
        <v>1470</v>
      </c>
      <c r="B1608" s="6" t="str">
        <f>"蒋艳楸"</f>
        <v>蒋艳楸</v>
      </c>
      <c r="C1608" s="6" t="str">
        <f t="shared" si="78"/>
        <v>女</v>
      </c>
      <c r="D1608" s="6" t="str">
        <f>"202120040508"</f>
        <v>202120040508</v>
      </c>
      <c r="E1608" s="10" t="s">
        <v>20</v>
      </c>
      <c r="F1608" s="6" t="s">
        <v>22</v>
      </c>
      <c r="G1608" s="8">
        <v>55.45</v>
      </c>
      <c r="H1608" s="6"/>
    </row>
    <row r="1609" spans="1:8">
      <c r="A1609" s="5">
        <v>1471</v>
      </c>
      <c r="B1609" s="6" t="str">
        <f>"欧阳金丽"</f>
        <v>欧阳金丽</v>
      </c>
      <c r="C1609" s="6" t="str">
        <f t="shared" si="78"/>
        <v>女</v>
      </c>
      <c r="D1609" s="6" t="str">
        <f>"202120040509"</f>
        <v>202120040509</v>
      </c>
      <c r="E1609" s="10" t="s">
        <v>20</v>
      </c>
      <c r="F1609" s="6" t="s">
        <v>22</v>
      </c>
      <c r="G1609" s="8">
        <v>58.7</v>
      </c>
      <c r="H1609" s="6"/>
    </row>
    <row r="1610" spans="1:8">
      <c r="A1610" s="5">
        <v>1430</v>
      </c>
      <c r="B1610" s="6" t="str">
        <f>"朱文琳"</f>
        <v>朱文琳</v>
      </c>
      <c r="C1610" s="6" t="str">
        <f t="shared" si="78"/>
        <v>女</v>
      </c>
      <c r="D1610" s="6" t="str">
        <f>"202120040510"</f>
        <v>202120040510</v>
      </c>
      <c r="E1610" s="10" t="s">
        <v>20</v>
      </c>
      <c r="F1610" s="6" t="s">
        <v>22</v>
      </c>
      <c r="G1610" s="8">
        <v>42.7</v>
      </c>
      <c r="H1610" s="6"/>
    </row>
    <row r="1611" spans="1:8">
      <c r="A1611" s="5">
        <v>1482</v>
      </c>
      <c r="B1611" s="6" t="str">
        <f>"袁国芳"</f>
        <v>袁国芳</v>
      </c>
      <c r="C1611" s="6" t="str">
        <f t="shared" si="78"/>
        <v>女</v>
      </c>
      <c r="D1611" s="6" t="str">
        <f>"202120040511"</f>
        <v>202120040511</v>
      </c>
      <c r="E1611" s="10" t="s">
        <v>20</v>
      </c>
      <c r="F1611" s="6" t="s">
        <v>22</v>
      </c>
      <c r="G1611" s="8">
        <v>78.400000000000006</v>
      </c>
      <c r="H1611" s="6"/>
    </row>
    <row r="1612" spans="1:8">
      <c r="A1612" s="5">
        <v>1450</v>
      </c>
      <c r="B1612" s="6" t="str">
        <f>"熊嘉慧"</f>
        <v>熊嘉慧</v>
      </c>
      <c r="C1612" s="6" t="str">
        <f t="shared" si="78"/>
        <v>女</v>
      </c>
      <c r="D1612" s="6" t="str">
        <f>"202120040512"</f>
        <v>202120040512</v>
      </c>
      <c r="E1612" s="10" t="s">
        <v>20</v>
      </c>
      <c r="F1612" s="6" t="s">
        <v>22</v>
      </c>
      <c r="G1612" s="8">
        <v>55.85</v>
      </c>
      <c r="H1612" s="6"/>
    </row>
    <row r="1613" spans="1:8">
      <c r="A1613" s="5">
        <v>1420</v>
      </c>
      <c r="B1613" s="6" t="str">
        <f>"黄瑾"</f>
        <v>黄瑾</v>
      </c>
      <c r="C1613" s="6" t="str">
        <f t="shared" si="78"/>
        <v>女</v>
      </c>
      <c r="D1613" s="6" t="str">
        <f>"202120040513"</f>
        <v>202120040513</v>
      </c>
      <c r="E1613" s="10" t="s">
        <v>20</v>
      </c>
      <c r="F1613" s="6" t="s">
        <v>22</v>
      </c>
      <c r="G1613" s="8">
        <v>0</v>
      </c>
      <c r="H1613" s="9">
        <v>1</v>
      </c>
    </row>
    <row r="1614" spans="1:8">
      <c r="A1614" s="5">
        <v>1421</v>
      </c>
      <c r="B1614" s="6" t="str">
        <f>"陈琦"</f>
        <v>陈琦</v>
      </c>
      <c r="C1614" s="6" t="str">
        <f t="shared" si="78"/>
        <v>女</v>
      </c>
      <c r="D1614" s="6" t="str">
        <f>"202120040514"</f>
        <v>202120040514</v>
      </c>
      <c r="E1614" s="10" t="s">
        <v>20</v>
      </c>
      <c r="F1614" s="6" t="s">
        <v>22</v>
      </c>
      <c r="G1614" s="8">
        <v>0</v>
      </c>
      <c r="H1614" s="9">
        <v>1</v>
      </c>
    </row>
    <row r="1615" spans="1:8">
      <c r="A1615" s="5">
        <v>1481</v>
      </c>
      <c r="B1615" s="6" t="str">
        <f>"郭慧"</f>
        <v>郭慧</v>
      </c>
      <c r="C1615" s="6" t="str">
        <f t="shared" si="78"/>
        <v>女</v>
      </c>
      <c r="D1615" s="6" t="str">
        <f>"202120040515"</f>
        <v>202120040515</v>
      </c>
      <c r="E1615" s="10" t="s">
        <v>20</v>
      </c>
      <c r="F1615" s="6" t="s">
        <v>22</v>
      </c>
      <c r="G1615" s="8">
        <v>71.8</v>
      </c>
      <c r="H1615" s="6"/>
    </row>
    <row r="1616" spans="1:8">
      <c r="A1616" s="5">
        <v>1425</v>
      </c>
      <c r="B1616" s="6" t="str">
        <f>"李亭亭"</f>
        <v>李亭亭</v>
      </c>
      <c r="C1616" s="6" t="str">
        <f t="shared" si="78"/>
        <v>女</v>
      </c>
      <c r="D1616" s="6" t="str">
        <f>"202120040516"</f>
        <v>202120040516</v>
      </c>
      <c r="E1616" s="10" t="s">
        <v>20</v>
      </c>
      <c r="F1616" s="6" t="s">
        <v>22</v>
      </c>
      <c r="G1616" s="8">
        <v>0</v>
      </c>
      <c r="H1616" s="9">
        <v>1</v>
      </c>
    </row>
    <row r="1617" spans="1:8">
      <c r="A1617" s="5">
        <v>1459</v>
      </c>
      <c r="B1617" s="6" t="str">
        <f>"杨桂利"</f>
        <v>杨桂利</v>
      </c>
      <c r="C1617" s="6" t="str">
        <f t="shared" si="78"/>
        <v>女</v>
      </c>
      <c r="D1617" s="6" t="str">
        <f>"202120040517"</f>
        <v>202120040517</v>
      </c>
      <c r="E1617" s="10" t="s">
        <v>20</v>
      </c>
      <c r="F1617" s="6" t="s">
        <v>22</v>
      </c>
      <c r="G1617" s="8">
        <v>0</v>
      </c>
      <c r="H1617" s="9">
        <v>1</v>
      </c>
    </row>
    <row r="1618" spans="1:8">
      <c r="A1618" s="5">
        <v>1475</v>
      </c>
      <c r="B1618" s="6" t="str">
        <f>"周韵宇"</f>
        <v>周韵宇</v>
      </c>
      <c r="C1618" s="6" t="str">
        <f t="shared" si="78"/>
        <v>女</v>
      </c>
      <c r="D1618" s="6" t="str">
        <f>"202120040518"</f>
        <v>202120040518</v>
      </c>
      <c r="E1618" s="10" t="s">
        <v>20</v>
      </c>
      <c r="F1618" s="6" t="s">
        <v>22</v>
      </c>
      <c r="G1618" s="8">
        <v>57.95</v>
      </c>
      <c r="H1618" s="6"/>
    </row>
    <row r="1619" spans="1:8">
      <c r="A1619" s="5">
        <v>1432</v>
      </c>
      <c r="B1619" s="6" t="str">
        <f>"彭垠婷"</f>
        <v>彭垠婷</v>
      </c>
      <c r="C1619" s="6" t="str">
        <f t="shared" si="78"/>
        <v>女</v>
      </c>
      <c r="D1619" s="6" t="str">
        <f>"202120040519"</f>
        <v>202120040519</v>
      </c>
      <c r="E1619" s="10" t="s">
        <v>20</v>
      </c>
      <c r="F1619" s="6" t="s">
        <v>22</v>
      </c>
      <c r="G1619" s="8">
        <v>63.05</v>
      </c>
      <c r="H1619" s="6"/>
    </row>
    <row r="1620" spans="1:8">
      <c r="A1620" s="5">
        <v>1467</v>
      </c>
      <c r="B1620" s="6" t="str">
        <f>"姜雨欣"</f>
        <v>姜雨欣</v>
      </c>
      <c r="C1620" s="6" t="str">
        <f t="shared" si="78"/>
        <v>女</v>
      </c>
      <c r="D1620" s="6" t="str">
        <f>"202120040520"</f>
        <v>202120040520</v>
      </c>
      <c r="E1620" s="10" t="s">
        <v>20</v>
      </c>
      <c r="F1620" s="6" t="s">
        <v>22</v>
      </c>
      <c r="G1620" s="8">
        <v>67.599999999999994</v>
      </c>
      <c r="H1620" s="6"/>
    </row>
    <row r="1621" spans="1:8">
      <c r="A1621" s="5">
        <v>1424</v>
      </c>
      <c r="B1621" s="6" t="str">
        <f>"杨彬浩"</f>
        <v>杨彬浩</v>
      </c>
      <c r="C1621" s="6" t="str">
        <f t="shared" si="78"/>
        <v>女</v>
      </c>
      <c r="D1621" s="6" t="str">
        <f>"202120040521"</f>
        <v>202120040521</v>
      </c>
      <c r="E1621" s="10" t="s">
        <v>20</v>
      </c>
      <c r="F1621" s="6" t="s">
        <v>22</v>
      </c>
      <c r="G1621" s="8">
        <v>74.849999999999994</v>
      </c>
      <c r="H1621" s="6"/>
    </row>
    <row r="1622" spans="1:8">
      <c r="A1622" s="5">
        <v>1462</v>
      </c>
      <c r="B1622" s="6" t="str">
        <f>"李子园"</f>
        <v>李子园</v>
      </c>
      <c r="C1622" s="6" t="str">
        <f t="shared" si="78"/>
        <v>女</v>
      </c>
      <c r="D1622" s="6" t="str">
        <f>"202120040522"</f>
        <v>202120040522</v>
      </c>
      <c r="E1622" s="10" t="s">
        <v>20</v>
      </c>
      <c r="F1622" s="6" t="s">
        <v>22</v>
      </c>
      <c r="G1622" s="8">
        <v>58.15</v>
      </c>
      <c r="H1622" s="6"/>
    </row>
    <row r="1623" spans="1:8">
      <c r="A1623" s="5">
        <v>1476</v>
      </c>
      <c r="B1623" s="6" t="str">
        <f>"申欣荣"</f>
        <v>申欣荣</v>
      </c>
      <c r="C1623" s="6" t="str">
        <f>"男"</f>
        <v>男</v>
      </c>
      <c r="D1623" s="6" t="str">
        <f>"202120040523"</f>
        <v>202120040523</v>
      </c>
      <c r="E1623" s="10" t="s">
        <v>20</v>
      </c>
      <c r="F1623" s="6" t="s">
        <v>22</v>
      </c>
      <c r="G1623" s="8">
        <v>64.349999999999994</v>
      </c>
      <c r="H1623" s="6"/>
    </row>
    <row r="1624" spans="1:8">
      <c r="A1624" s="5">
        <v>1435</v>
      </c>
      <c r="B1624" s="6" t="str">
        <f>"沈澍沛"</f>
        <v>沈澍沛</v>
      </c>
      <c r="C1624" s="6" t="str">
        <f t="shared" ref="C1624:C1649" si="79">"女"</f>
        <v>女</v>
      </c>
      <c r="D1624" s="6" t="str">
        <f>"202120040524"</f>
        <v>202120040524</v>
      </c>
      <c r="E1624" s="10" t="s">
        <v>20</v>
      </c>
      <c r="F1624" s="6" t="s">
        <v>22</v>
      </c>
      <c r="G1624" s="8">
        <v>70</v>
      </c>
      <c r="H1624" s="6"/>
    </row>
    <row r="1625" spans="1:8">
      <c r="A1625" s="5">
        <v>1454</v>
      </c>
      <c r="B1625" s="6" t="str">
        <f>"彭欣"</f>
        <v>彭欣</v>
      </c>
      <c r="C1625" s="6" t="str">
        <f t="shared" si="79"/>
        <v>女</v>
      </c>
      <c r="D1625" s="6" t="str">
        <f>"202120040525"</f>
        <v>202120040525</v>
      </c>
      <c r="E1625" s="10" t="s">
        <v>20</v>
      </c>
      <c r="F1625" s="6" t="s">
        <v>22</v>
      </c>
      <c r="G1625" s="8">
        <v>68.900000000000006</v>
      </c>
      <c r="H1625" s="6"/>
    </row>
    <row r="1626" spans="1:8">
      <c r="A1626" s="5">
        <v>1474</v>
      </c>
      <c r="B1626" s="6" t="str">
        <f>"周科伶"</f>
        <v>周科伶</v>
      </c>
      <c r="C1626" s="6" t="str">
        <f t="shared" si="79"/>
        <v>女</v>
      </c>
      <c r="D1626" s="6" t="str">
        <f>"202120040526"</f>
        <v>202120040526</v>
      </c>
      <c r="E1626" s="10" t="s">
        <v>20</v>
      </c>
      <c r="F1626" s="6" t="s">
        <v>22</v>
      </c>
      <c r="G1626" s="8">
        <v>0</v>
      </c>
      <c r="H1626" s="9">
        <v>1</v>
      </c>
    </row>
    <row r="1627" spans="1:8">
      <c r="A1627" s="5">
        <v>1477</v>
      </c>
      <c r="B1627" s="6" t="str">
        <f>"杨慧"</f>
        <v>杨慧</v>
      </c>
      <c r="C1627" s="6" t="str">
        <f t="shared" si="79"/>
        <v>女</v>
      </c>
      <c r="D1627" s="6" t="str">
        <f>"202120040527"</f>
        <v>202120040527</v>
      </c>
      <c r="E1627" s="10" t="s">
        <v>20</v>
      </c>
      <c r="F1627" s="6" t="s">
        <v>22</v>
      </c>
      <c r="G1627" s="8">
        <v>52.9</v>
      </c>
      <c r="H1627" s="6"/>
    </row>
    <row r="1628" spans="1:8">
      <c r="A1628" s="5">
        <v>1443</v>
      </c>
      <c r="B1628" s="6" t="str">
        <f>"何元"</f>
        <v>何元</v>
      </c>
      <c r="C1628" s="6" t="str">
        <f t="shared" si="79"/>
        <v>女</v>
      </c>
      <c r="D1628" s="6" t="str">
        <f>"202120040528"</f>
        <v>202120040528</v>
      </c>
      <c r="E1628" s="10" t="s">
        <v>20</v>
      </c>
      <c r="F1628" s="6" t="s">
        <v>22</v>
      </c>
      <c r="G1628" s="8">
        <v>59</v>
      </c>
      <c r="H1628" s="6"/>
    </row>
    <row r="1629" spans="1:8">
      <c r="A1629" s="5">
        <v>1449</v>
      </c>
      <c r="B1629" s="6" t="str">
        <f>"许洁洪"</f>
        <v>许洁洪</v>
      </c>
      <c r="C1629" s="6" t="str">
        <f t="shared" si="79"/>
        <v>女</v>
      </c>
      <c r="D1629" s="6" t="str">
        <f>"202120040529"</f>
        <v>202120040529</v>
      </c>
      <c r="E1629" s="10" t="s">
        <v>20</v>
      </c>
      <c r="F1629" s="6" t="s">
        <v>22</v>
      </c>
      <c r="G1629" s="8">
        <v>0</v>
      </c>
      <c r="H1629" s="9">
        <v>1</v>
      </c>
    </row>
    <row r="1630" spans="1:8">
      <c r="A1630" s="5">
        <v>1448</v>
      </c>
      <c r="B1630" s="6" t="str">
        <f>"李琪"</f>
        <v>李琪</v>
      </c>
      <c r="C1630" s="6" t="str">
        <f t="shared" si="79"/>
        <v>女</v>
      </c>
      <c r="D1630" s="6" t="str">
        <f>"202120040530"</f>
        <v>202120040530</v>
      </c>
      <c r="E1630" s="10" t="s">
        <v>20</v>
      </c>
      <c r="F1630" s="6" t="s">
        <v>22</v>
      </c>
      <c r="G1630" s="8">
        <v>47.85</v>
      </c>
      <c r="H1630" s="6"/>
    </row>
    <row r="1631" spans="1:8">
      <c r="A1631" s="5">
        <v>1442</v>
      </c>
      <c r="B1631" s="6" t="str">
        <f>"周曼萱"</f>
        <v>周曼萱</v>
      </c>
      <c r="C1631" s="6" t="str">
        <f t="shared" si="79"/>
        <v>女</v>
      </c>
      <c r="D1631" s="6" t="str">
        <f>"202120040601"</f>
        <v>202120040601</v>
      </c>
      <c r="E1631" s="10" t="s">
        <v>20</v>
      </c>
      <c r="F1631" s="6" t="s">
        <v>22</v>
      </c>
      <c r="G1631" s="8">
        <v>70.849999999999994</v>
      </c>
      <c r="H1631" s="6"/>
    </row>
    <row r="1632" spans="1:8">
      <c r="A1632" s="5">
        <v>1438</v>
      </c>
      <c r="B1632" s="6" t="str">
        <f>"朱薇怡"</f>
        <v>朱薇怡</v>
      </c>
      <c r="C1632" s="6" t="str">
        <f t="shared" si="79"/>
        <v>女</v>
      </c>
      <c r="D1632" s="6" t="str">
        <f>"202120040602"</f>
        <v>202120040602</v>
      </c>
      <c r="E1632" s="10" t="s">
        <v>20</v>
      </c>
      <c r="F1632" s="6" t="s">
        <v>22</v>
      </c>
      <c r="G1632" s="8">
        <v>74.45</v>
      </c>
      <c r="H1632" s="6"/>
    </row>
    <row r="1633" spans="1:8">
      <c r="A1633" s="5">
        <v>1423</v>
      </c>
      <c r="B1633" s="6" t="str">
        <f>"阳思慧"</f>
        <v>阳思慧</v>
      </c>
      <c r="C1633" s="6" t="str">
        <f t="shared" si="79"/>
        <v>女</v>
      </c>
      <c r="D1633" s="6" t="str">
        <f>"202120040603"</f>
        <v>202120040603</v>
      </c>
      <c r="E1633" s="10" t="s">
        <v>20</v>
      </c>
      <c r="F1633" s="6" t="s">
        <v>22</v>
      </c>
      <c r="G1633" s="8">
        <v>0</v>
      </c>
      <c r="H1633" s="9">
        <v>1</v>
      </c>
    </row>
    <row r="1634" spans="1:8">
      <c r="A1634" s="5">
        <v>1431</v>
      </c>
      <c r="B1634" s="6" t="str">
        <f>"黄露"</f>
        <v>黄露</v>
      </c>
      <c r="C1634" s="6" t="str">
        <f t="shared" si="79"/>
        <v>女</v>
      </c>
      <c r="D1634" s="6" t="str">
        <f>"202120040604"</f>
        <v>202120040604</v>
      </c>
      <c r="E1634" s="10" t="s">
        <v>20</v>
      </c>
      <c r="F1634" s="6" t="s">
        <v>22</v>
      </c>
      <c r="G1634" s="8">
        <v>69.349999999999994</v>
      </c>
      <c r="H1634" s="6"/>
    </row>
    <row r="1635" spans="1:8">
      <c r="A1635" s="5">
        <v>1452</v>
      </c>
      <c r="B1635" s="6" t="str">
        <f>"唐滢"</f>
        <v>唐滢</v>
      </c>
      <c r="C1635" s="6" t="str">
        <f t="shared" si="79"/>
        <v>女</v>
      </c>
      <c r="D1635" s="6" t="str">
        <f>"202120040605"</f>
        <v>202120040605</v>
      </c>
      <c r="E1635" s="10" t="s">
        <v>20</v>
      </c>
      <c r="F1635" s="6" t="s">
        <v>22</v>
      </c>
      <c r="G1635" s="8">
        <v>55.6</v>
      </c>
      <c r="H1635" s="6"/>
    </row>
    <row r="1636" spans="1:8">
      <c r="A1636" s="5">
        <v>1468</v>
      </c>
      <c r="B1636" s="6" t="str">
        <f>"钱婕妤"</f>
        <v>钱婕妤</v>
      </c>
      <c r="C1636" s="6" t="str">
        <f t="shared" si="79"/>
        <v>女</v>
      </c>
      <c r="D1636" s="6" t="str">
        <f>"202120040606"</f>
        <v>202120040606</v>
      </c>
      <c r="E1636" s="10" t="s">
        <v>20</v>
      </c>
      <c r="F1636" s="6" t="s">
        <v>22</v>
      </c>
      <c r="G1636" s="8">
        <v>61.2</v>
      </c>
      <c r="H1636" s="6"/>
    </row>
    <row r="1637" spans="1:8">
      <c r="A1637" s="5">
        <v>1436</v>
      </c>
      <c r="B1637" s="6" t="str">
        <f>"吴珮溱"</f>
        <v>吴珮溱</v>
      </c>
      <c r="C1637" s="6" t="str">
        <f t="shared" si="79"/>
        <v>女</v>
      </c>
      <c r="D1637" s="6" t="str">
        <f>"202120040607"</f>
        <v>202120040607</v>
      </c>
      <c r="E1637" s="10" t="s">
        <v>20</v>
      </c>
      <c r="F1637" s="6" t="s">
        <v>22</v>
      </c>
      <c r="G1637" s="8">
        <v>76.3</v>
      </c>
      <c r="H1637" s="6"/>
    </row>
    <row r="1638" spans="1:8">
      <c r="A1638" s="5">
        <v>1457</v>
      </c>
      <c r="B1638" s="6" t="str">
        <f>"郭婉琪"</f>
        <v>郭婉琪</v>
      </c>
      <c r="C1638" s="6" t="str">
        <f t="shared" si="79"/>
        <v>女</v>
      </c>
      <c r="D1638" s="6" t="str">
        <f>"202120040608"</f>
        <v>202120040608</v>
      </c>
      <c r="E1638" s="10" t="s">
        <v>20</v>
      </c>
      <c r="F1638" s="6" t="s">
        <v>22</v>
      </c>
      <c r="G1638" s="8">
        <v>79.3</v>
      </c>
      <c r="H1638" s="6"/>
    </row>
    <row r="1639" spans="1:8">
      <c r="A1639" s="5">
        <v>1463</v>
      </c>
      <c r="B1639" s="6" t="str">
        <f>"刘雅慧"</f>
        <v>刘雅慧</v>
      </c>
      <c r="C1639" s="6" t="str">
        <f t="shared" si="79"/>
        <v>女</v>
      </c>
      <c r="D1639" s="6" t="str">
        <f>"202120040609"</f>
        <v>202120040609</v>
      </c>
      <c r="E1639" s="10" t="s">
        <v>20</v>
      </c>
      <c r="F1639" s="6" t="s">
        <v>22</v>
      </c>
      <c r="G1639" s="8">
        <v>70.95</v>
      </c>
      <c r="H1639" s="6"/>
    </row>
    <row r="1640" spans="1:8">
      <c r="A1640" s="5">
        <v>1427</v>
      </c>
      <c r="B1640" s="6" t="str">
        <f>"余睿晓"</f>
        <v>余睿晓</v>
      </c>
      <c r="C1640" s="6" t="str">
        <f t="shared" si="79"/>
        <v>女</v>
      </c>
      <c r="D1640" s="6" t="str">
        <f>"202120040610"</f>
        <v>202120040610</v>
      </c>
      <c r="E1640" s="10" t="s">
        <v>20</v>
      </c>
      <c r="F1640" s="6" t="s">
        <v>22</v>
      </c>
      <c r="G1640" s="8">
        <v>0</v>
      </c>
      <c r="H1640" s="9">
        <v>1</v>
      </c>
    </row>
    <row r="1641" spans="1:8">
      <c r="A1641" s="5">
        <v>1455</v>
      </c>
      <c r="B1641" s="6" t="str">
        <f>"邹庆庆"</f>
        <v>邹庆庆</v>
      </c>
      <c r="C1641" s="6" t="str">
        <f t="shared" si="79"/>
        <v>女</v>
      </c>
      <c r="D1641" s="6" t="str">
        <f>"202120040611"</f>
        <v>202120040611</v>
      </c>
      <c r="E1641" s="10" t="s">
        <v>20</v>
      </c>
      <c r="F1641" s="6" t="s">
        <v>22</v>
      </c>
      <c r="G1641" s="8">
        <v>56.15</v>
      </c>
      <c r="H1641" s="6"/>
    </row>
    <row r="1642" spans="1:8">
      <c r="A1642" s="5">
        <v>1428</v>
      </c>
      <c r="B1642" s="6" t="str">
        <f>"金鑫"</f>
        <v>金鑫</v>
      </c>
      <c r="C1642" s="6" t="str">
        <f t="shared" si="79"/>
        <v>女</v>
      </c>
      <c r="D1642" s="6" t="str">
        <f>"202120040612"</f>
        <v>202120040612</v>
      </c>
      <c r="E1642" s="10" t="s">
        <v>20</v>
      </c>
      <c r="F1642" s="6" t="s">
        <v>22</v>
      </c>
      <c r="G1642" s="8">
        <v>0</v>
      </c>
      <c r="H1642" s="9">
        <v>1</v>
      </c>
    </row>
    <row r="1643" spans="1:8">
      <c r="A1643" s="5">
        <v>1447</v>
      </c>
      <c r="B1643" s="6" t="str">
        <f>"苏畹晶"</f>
        <v>苏畹晶</v>
      </c>
      <c r="C1643" s="6" t="str">
        <f t="shared" si="79"/>
        <v>女</v>
      </c>
      <c r="D1643" s="6" t="str">
        <f>"202120040613"</f>
        <v>202120040613</v>
      </c>
      <c r="E1643" s="10" t="s">
        <v>20</v>
      </c>
      <c r="F1643" s="6" t="s">
        <v>22</v>
      </c>
      <c r="G1643" s="8">
        <v>74.8</v>
      </c>
      <c r="H1643" s="6"/>
    </row>
    <row r="1644" spans="1:8">
      <c r="A1644" s="5">
        <v>1426</v>
      </c>
      <c r="B1644" s="6" t="str">
        <f>"何京奇"</f>
        <v>何京奇</v>
      </c>
      <c r="C1644" s="6" t="str">
        <f t="shared" si="79"/>
        <v>女</v>
      </c>
      <c r="D1644" s="6" t="str">
        <f>"202120040614"</f>
        <v>202120040614</v>
      </c>
      <c r="E1644" s="10" t="s">
        <v>20</v>
      </c>
      <c r="F1644" s="6" t="s">
        <v>22</v>
      </c>
      <c r="G1644" s="8">
        <v>0</v>
      </c>
      <c r="H1644" s="9">
        <v>1</v>
      </c>
    </row>
    <row r="1645" spans="1:8">
      <c r="A1645" s="5">
        <v>1453</v>
      </c>
      <c r="B1645" s="6" t="str">
        <f>"龙梦姣"</f>
        <v>龙梦姣</v>
      </c>
      <c r="C1645" s="6" t="str">
        <f t="shared" si="79"/>
        <v>女</v>
      </c>
      <c r="D1645" s="6" t="str">
        <f>"202120040615"</f>
        <v>202120040615</v>
      </c>
      <c r="E1645" s="10" t="s">
        <v>20</v>
      </c>
      <c r="F1645" s="6" t="s">
        <v>22</v>
      </c>
      <c r="G1645" s="8">
        <v>74.650000000000006</v>
      </c>
      <c r="H1645" s="6"/>
    </row>
    <row r="1646" spans="1:8">
      <c r="A1646" s="5">
        <v>1441</v>
      </c>
      <c r="B1646" s="6" t="str">
        <f>"金赵诗妮"</f>
        <v>金赵诗妮</v>
      </c>
      <c r="C1646" s="6" t="str">
        <f t="shared" si="79"/>
        <v>女</v>
      </c>
      <c r="D1646" s="6" t="str">
        <f>"202120040616"</f>
        <v>202120040616</v>
      </c>
      <c r="E1646" s="10" t="s">
        <v>20</v>
      </c>
      <c r="F1646" s="6" t="s">
        <v>22</v>
      </c>
      <c r="G1646" s="8">
        <v>79.5</v>
      </c>
      <c r="H1646" s="6"/>
    </row>
    <row r="1647" spans="1:8">
      <c r="A1647" s="5">
        <v>1456</v>
      </c>
      <c r="B1647" s="6" t="str">
        <f>"罗如愿"</f>
        <v>罗如愿</v>
      </c>
      <c r="C1647" s="6" t="str">
        <f t="shared" si="79"/>
        <v>女</v>
      </c>
      <c r="D1647" s="6" t="str">
        <f>"202120040617"</f>
        <v>202120040617</v>
      </c>
      <c r="E1647" s="10" t="s">
        <v>20</v>
      </c>
      <c r="F1647" s="6" t="s">
        <v>22</v>
      </c>
      <c r="G1647" s="8">
        <v>0</v>
      </c>
      <c r="H1647" s="9">
        <v>1</v>
      </c>
    </row>
    <row r="1648" spans="1:8">
      <c r="A1648" s="5">
        <v>1472</v>
      </c>
      <c r="B1648" s="6" t="str">
        <f>"罗楠茜"</f>
        <v>罗楠茜</v>
      </c>
      <c r="C1648" s="6" t="str">
        <f t="shared" si="79"/>
        <v>女</v>
      </c>
      <c r="D1648" s="6" t="str">
        <f>"202120040618"</f>
        <v>202120040618</v>
      </c>
      <c r="E1648" s="10" t="s">
        <v>20</v>
      </c>
      <c r="F1648" s="6" t="s">
        <v>22</v>
      </c>
      <c r="G1648" s="8">
        <v>72.5</v>
      </c>
      <c r="H1648" s="6"/>
    </row>
    <row r="1649" spans="1:8">
      <c r="A1649" s="5">
        <v>1445</v>
      </c>
      <c r="B1649" s="6" t="str">
        <f>"艾艳璇"</f>
        <v>艾艳璇</v>
      </c>
      <c r="C1649" s="6" t="str">
        <f t="shared" si="79"/>
        <v>女</v>
      </c>
      <c r="D1649" s="6" t="str">
        <f>"202120040619"</f>
        <v>202120040619</v>
      </c>
      <c r="E1649" s="10" t="s">
        <v>20</v>
      </c>
      <c r="F1649" s="6" t="s">
        <v>22</v>
      </c>
      <c r="G1649" s="8">
        <v>49.95</v>
      </c>
      <c r="H1649" s="6"/>
    </row>
    <row r="1650" spans="1:8">
      <c r="A1650" s="5">
        <v>1439</v>
      </c>
      <c r="B1650" s="6" t="str">
        <f>"杜成立"</f>
        <v>杜成立</v>
      </c>
      <c r="C1650" s="6" t="str">
        <f>"男"</f>
        <v>男</v>
      </c>
      <c r="D1650" s="6" t="str">
        <f>"202120040620"</f>
        <v>202120040620</v>
      </c>
      <c r="E1650" s="10" t="s">
        <v>20</v>
      </c>
      <c r="F1650" s="6" t="s">
        <v>22</v>
      </c>
      <c r="G1650" s="8">
        <v>56.5</v>
      </c>
      <c r="H1650" s="6"/>
    </row>
    <row r="1651" spans="1:8">
      <c r="A1651" s="5">
        <v>1429</v>
      </c>
      <c r="B1651" s="6" t="str">
        <f>"王颖"</f>
        <v>王颖</v>
      </c>
      <c r="C1651" s="6" t="str">
        <f>"女"</f>
        <v>女</v>
      </c>
      <c r="D1651" s="6" t="str">
        <f>"202120040621"</f>
        <v>202120040621</v>
      </c>
      <c r="E1651" s="10" t="s">
        <v>20</v>
      </c>
      <c r="F1651" s="6" t="s">
        <v>22</v>
      </c>
      <c r="G1651" s="8">
        <v>0</v>
      </c>
      <c r="H1651" s="9">
        <v>1</v>
      </c>
    </row>
    <row r="1652" spans="1:8">
      <c r="A1652" s="5">
        <v>1440</v>
      </c>
      <c r="B1652" s="6" t="str">
        <f>"邓杰玉"</f>
        <v>邓杰玉</v>
      </c>
      <c r="C1652" s="6" t="str">
        <f>"女"</f>
        <v>女</v>
      </c>
      <c r="D1652" s="6" t="str">
        <f>"202120040622"</f>
        <v>202120040622</v>
      </c>
      <c r="E1652" s="10" t="s">
        <v>20</v>
      </c>
      <c r="F1652" s="6" t="s">
        <v>22</v>
      </c>
      <c r="G1652" s="8">
        <v>58.15</v>
      </c>
      <c r="H1652" s="6"/>
    </row>
    <row r="1653" spans="1:8">
      <c r="A1653" s="5">
        <v>1465</v>
      </c>
      <c r="B1653" s="6" t="str">
        <f>"陈俊晖"</f>
        <v>陈俊晖</v>
      </c>
      <c r="C1653" s="6" t="str">
        <f>"男"</f>
        <v>男</v>
      </c>
      <c r="D1653" s="6" t="str">
        <f>"202120040623"</f>
        <v>202120040623</v>
      </c>
      <c r="E1653" s="10" t="s">
        <v>20</v>
      </c>
      <c r="F1653" s="6" t="s">
        <v>22</v>
      </c>
      <c r="G1653" s="8">
        <v>72.349999999999994</v>
      </c>
      <c r="H1653" s="6"/>
    </row>
    <row r="1654" spans="1:8">
      <c r="A1654" s="5">
        <v>1451</v>
      </c>
      <c r="B1654" s="6" t="str">
        <f>"林欢欢"</f>
        <v>林欢欢</v>
      </c>
      <c r="C1654" s="6" t="str">
        <f>"女"</f>
        <v>女</v>
      </c>
      <c r="D1654" s="6" t="str">
        <f>"202120040624"</f>
        <v>202120040624</v>
      </c>
      <c r="E1654" s="10" t="s">
        <v>20</v>
      </c>
      <c r="F1654" s="6" t="s">
        <v>22</v>
      </c>
      <c r="G1654" s="8">
        <v>54.7</v>
      </c>
      <c r="H1654" s="6"/>
    </row>
    <row r="1655" spans="1:8">
      <c r="A1655" s="5">
        <v>1458</v>
      </c>
      <c r="B1655" s="6" t="str">
        <f>"舒梦婷"</f>
        <v>舒梦婷</v>
      </c>
      <c r="C1655" s="6" t="str">
        <f>"女"</f>
        <v>女</v>
      </c>
      <c r="D1655" s="6" t="str">
        <f>"202120040625"</f>
        <v>202120040625</v>
      </c>
      <c r="E1655" s="10" t="s">
        <v>20</v>
      </c>
      <c r="F1655" s="6" t="s">
        <v>22</v>
      </c>
      <c r="G1655" s="8">
        <v>63.8</v>
      </c>
      <c r="H1655" s="6"/>
    </row>
    <row r="1656" spans="1:8">
      <c r="A1656" s="5">
        <v>1461</v>
      </c>
      <c r="B1656" s="6" t="str">
        <f>"陆文琳"</f>
        <v>陆文琳</v>
      </c>
      <c r="C1656" s="6" t="str">
        <f>"女"</f>
        <v>女</v>
      </c>
      <c r="D1656" s="6" t="str">
        <f>"202120040626"</f>
        <v>202120040626</v>
      </c>
      <c r="E1656" s="10" t="s">
        <v>20</v>
      </c>
      <c r="F1656" s="6" t="s">
        <v>22</v>
      </c>
      <c r="G1656" s="8">
        <v>54.3</v>
      </c>
      <c r="H1656" s="6"/>
    </row>
    <row r="1657" spans="1:8">
      <c r="A1657" s="5">
        <v>1505</v>
      </c>
      <c r="B1657" s="6" t="str">
        <f>"朱渊"</f>
        <v>朱渊</v>
      </c>
      <c r="C1657" s="6" t="str">
        <f>"女"</f>
        <v>女</v>
      </c>
      <c r="D1657" s="6" t="str">
        <f>"202121040701"</f>
        <v>202121040701</v>
      </c>
      <c r="E1657" s="10" t="s">
        <v>20</v>
      </c>
      <c r="F1657" s="6" t="s">
        <v>23</v>
      </c>
      <c r="G1657" s="8">
        <v>62.65</v>
      </c>
      <c r="H1657" s="6"/>
    </row>
    <row r="1658" spans="1:8">
      <c r="A1658" s="5">
        <v>1489</v>
      </c>
      <c r="B1658" s="6" t="str">
        <f>"周晨辉"</f>
        <v>周晨辉</v>
      </c>
      <c r="C1658" s="6" t="str">
        <f>"男"</f>
        <v>男</v>
      </c>
      <c r="D1658" s="6" t="str">
        <f>"202121040702"</f>
        <v>202121040702</v>
      </c>
      <c r="E1658" s="10" t="s">
        <v>20</v>
      </c>
      <c r="F1658" s="6" t="s">
        <v>23</v>
      </c>
      <c r="G1658" s="8">
        <v>0</v>
      </c>
      <c r="H1658" s="9">
        <v>1</v>
      </c>
    </row>
    <row r="1659" spans="1:8">
      <c r="A1659" s="5">
        <v>1501</v>
      </c>
      <c r="B1659" s="6" t="str">
        <f>"马胜蓝"</f>
        <v>马胜蓝</v>
      </c>
      <c r="C1659" s="6" t="str">
        <f>"女"</f>
        <v>女</v>
      </c>
      <c r="D1659" s="6" t="str">
        <f>"202121040703"</f>
        <v>202121040703</v>
      </c>
      <c r="E1659" s="10" t="s">
        <v>20</v>
      </c>
      <c r="F1659" s="6" t="s">
        <v>23</v>
      </c>
      <c r="G1659" s="8">
        <v>63.2</v>
      </c>
      <c r="H1659" s="6"/>
    </row>
    <row r="1660" spans="1:8">
      <c r="A1660" s="5">
        <v>1488</v>
      </c>
      <c r="B1660" s="6" t="str">
        <f>"潘秋鑫"</f>
        <v>潘秋鑫</v>
      </c>
      <c r="C1660" s="6" t="str">
        <f>"女"</f>
        <v>女</v>
      </c>
      <c r="D1660" s="6" t="str">
        <f>"202121040704"</f>
        <v>202121040704</v>
      </c>
      <c r="E1660" s="10" t="s">
        <v>20</v>
      </c>
      <c r="F1660" s="6" t="s">
        <v>23</v>
      </c>
      <c r="G1660" s="8">
        <v>61.35</v>
      </c>
      <c r="H1660" s="6"/>
    </row>
    <row r="1661" spans="1:8">
      <c r="A1661" s="5">
        <v>1485</v>
      </c>
      <c r="B1661" s="6" t="str">
        <f>"吴孟"</f>
        <v>吴孟</v>
      </c>
      <c r="C1661" s="6" t="str">
        <f>"男"</f>
        <v>男</v>
      </c>
      <c r="D1661" s="6" t="str">
        <f>"202121040705"</f>
        <v>202121040705</v>
      </c>
      <c r="E1661" s="10" t="s">
        <v>20</v>
      </c>
      <c r="F1661" s="6" t="s">
        <v>23</v>
      </c>
      <c r="G1661" s="8">
        <v>57.2</v>
      </c>
      <c r="H1661" s="6"/>
    </row>
    <row r="1662" spans="1:8">
      <c r="A1662" s="5">
        <v>1506</v>
      </c>
      <c r="B1662" s="6" t="str">
        <f>"龚利锦"</f>
        <v>龚利锦</v>
      </c>
      <c r="C1662" s="6" t="str">
        <f>"男"</f>
        <v>男</v>
      </c>
      <c r="D1662" s="6" t="str">
        <f>"202121040706"</f>
        <v>202121040706</v>
      </c>
      <c r="E1662" s="10" t="s">
        <v>20</v>
      </c>
      <c r="F1662" s="6" t="s">
        <v>23</v>
      </c>
      <c r="G1662" s="8">
        <v>59.2</v>
      </c>
      <c r="H1662" s="6"/>
    </row>
    <row r="1663" spans="1:8">
      <c r="A1663" s="5">
        <v>1483</v>
      </c>
      <c r="B1663" s="6" t="str">
        <f>"喻海波"</f>
        <v>喻海波</v>
      </c>
      <c r="C1663" s="6" t="str">
        <f>"男"</f>
        <v>男</v>
      </c>
      <c r="D1663" s="6" t="str">
        <f>"202121040707"</f>
        <v>202121040707</v>
      </c>
      <c r="E1663" s="10" t="s">
        <v>20</v>
      </c>
      <c r="F1663" s="6" t="s">
        <v>23</v>
      </c>
      <c r="G1663" s="8">
        <v>0</v>
      </c>
      <c r="H1663" s="9">
        <v>1</v>
      </c>
    </row>
    <row r="1664" spans="1:8">
      <c r="A1664" s="5">
        <v>1495</v>
      </c>
      <c r="B1664" s="6" t="str">
        <f>"管花莉"</f>
        <v>管花莉</v>
      </c>
      <c r="C1664" s="6" t="str">
        <f>"女"</f>
        <v>女</v>
      </c>
      <c r="D1664" s="6" t="str">
        <f>"202121040708"</f>
        <v>202121040708</v>
      </c>
      <c r="E1664" s="10" t="s">
        <v>20</v>
      </c>
      <c r="F1664" s="6" t="s">
        <v>23</v>
      </c>
      <c r="G1664" s="8">
        <v>60.2</v>
      </c>
      <c r="H1664" s="6"/>
    </row>
    <row r="1665" spans="1:8">
      <c r="A1665" s="5">
        <v>1484</v>
      </c>
      <c r="B1665" s="6" t="str">
        <f>"钟艳林"</f>
        <v>钟艳林</v>
      </c>
      <c r="C1665" s="6" t="str">
        <f>"女"</f>
        <v>女</v>
      </c>
      <c r="D1665" s="6" t="str">
        <f>"202121040709"</f>
        <v>202121040709</v>
      </c>
      <c r="E1665" s="10" t="s">
        <v>20</v>
      </c>
      <c r="F1665" s="6" t="s">
        <v>23</v>
      </c>
      <c r="G1665" s="8">
        <v>0</v>
      </c>
      <c r="H1665" s="9">
        <v>1</v>
      </c>
    </row>
    <row r="1666" spans="1:8">
      <c r="A1666" s="5">
        <v>1494</v>
      </c>
      <c r="B1666" s="6" t="str">
        <f>"伍双伟"</f>
        <v>伍双伟</v>
      </c>
      <c r="C1666" s="6" t="str">
        <f>"男"</f>
        <v>男</v>
      </c>
      <c r="D1666" s="6" t="str">
        <f>"202121040710"</f>
        <v>202121040710</v>
      </c>
      <c r="E1666" s="10" t="s">
        <v>20</v>
      </c>
      <c r="F1666" s="6" t="s">
        <v>23</v>
      </c>
      <c r="G1666" s="8">
        <v>53</v>
      </c>
      <c r="H1666" s="6"/>
    </row>
    <row r="1667" spans="1:8">
      <c r="A1667" s="5">
        <v>1504</v>
      </c>
      <c r="B1667" s="6" t="str">
        <f>"廖新武"</f>
        <v>廖新武</v>
      </c>
      <c r="C1667" s="6" t="str">
        <f>"男"</f>
        <v>男</v>
      </c>
      <c r="D1667" s="6" t="str">
        <f>"202121040711"</f>
        <v>202121040711</v>
      </c>
      <c r="E1667" s="10" t="s">
        <v>20</v>
      </c>
      <c r="F1667" s="6" t="s">
        <v>23</v>
      </c>
      <c r="G1667" s="8">
        <v>55</v>
      </c>
      <c r="H1667" s="6"/>
    </row>
    <row r="1668" spans="1:8">
      <c r="A1668" s="5">
        <v>1499</v>
      </c>
      <c r="B1668" s="6" t="str">
        <f>"全丽英"</f>
        <v>全丽英</v>
      </c>
      <c r="C1668" s="6" t="str">
        <f>"女"</f>
        <v>女</v>
      </c>
      <c r="D1668" s="6" t="str">
        <f>"202121040712"</f>
        <v>202121040712</v>
      </c>
      <c r="E1668" s="10" t="s">
        <v>20</v>
      </c>
      <c r="F1668" s="6" t="s">
        <v>23</v>
      </c>
      <c r="G1668" s="8">
        <v>63.85</v>
      </c>
      <c r="H1668" s="6"/>
    </row>
    <row r="1669" spans="1:8">
      <c r="A1669" s="5">
        <v>1502</v>
      </c>
      <c r="B1669" s="6" t="str">
        <f>"陈杰"</f>
        <v>陈杰</v>
      </c>
      <c r="C1669" s="6" t="str">
        <f>"男"</f>
        <v>男</v>
      </c>
      <c r="D1669" s="6" t="str">
        <f>"202121040713"</f>
        <v>202121040713</v>
      </c>
      <c r="E1669" s="10" t="s">
        <v>20</v>
      </c>
      <c r="F1669" s="6" t="s">
        <v>23</v>
      </c>
      <c r="G1669" s="8">
        <v>64.55</v>
      </c>
      <c r="H1669" s="6"/>
    </row>
    <row r="1670" spans="1:8">
      <c r="A1670" s="5">
        <v>1496</v>
      </c>
      <c r="B1670" s="6" t="str">
        <f>"刘源海"</f>
        <v>刘源海</v>
      </c>
      <c r="C1670" s="6" t="str">
        <f>"女"</f>
        <v>女</v>
      </c>
      <c r="D1670" s="6" t="str">
        <f>"202121040714"</f>
        <v>202121040714</v>
      </c>
      <c r="E1670" s="10" t="s">
        <v>20</v>
      </c>
      <c r="F1670" s="6" t="s">
        <v>23</v>
      </c>
      <c r="G1670" s="8">
        <v>45.15</v>
      </c>
      <c r="H1670" s="6"/>
    </row>
    <row r="1671" spans="1:8">
      <c r="A1671" s="5">
        <v>1486</v>
      </c>
      <c r="B1671" s="6" t="str">
        <f>"丁思玲"</f>
        <v>丁思玲</v>
      </c>
      <c r="C1671" s="6" t="str">
        <f>"女"</f>
        <v>女</v>
      </c>
      <c r="D1671" s="6" t="str">
        <f>"202121040715"</f>
        <v>202121040715</v>
      </c>
      <c r="E1671" s="10" t="s">
        <v>20</v>
      </c>
      <c r="F1671" s="6" t="s">
        <v>23</v>
      </c>
      <c r="G1671" s="8">
        <v>49.2</v>
      </c>
      <c r="H1671" s="6"/>
    </row>
    <row r="1672" spans="1:8">
      <c r="A1672" s="5">
        <v>1490</v>
      </c>
      <c r="B1672" s="6" t="str">
        <f>"唐雪梅"</f>
        <v>唐雪梅</v>
      </c>
      <c r="C1672" s="6" t="str">
        <f>"女"</f>
        <v>女</v>
      </c>
      <c r="D1672" s="6" t="str">
        <f>"202121040716"</f>
        <v>202121040716</v>
      </c>
      <c r="E1672" s="10" t="s">
        <v>20</v>
      </c>
      <c r="F1672" s="6" t="s">
        <v>23</v>
      </c>
      <c r="G1672" s="8">
        <v>55.7</v>
      </c>
      <c r="H1672" s="6"/>
    </row>
    <row r="1673" spans="1:8">
      <c r="A1673" s="5">
        <v>1492</v>
      </c>
      <c r="B1673" s="6" t="str">
        <f>"李政达"</f>
        <v>李政达</v>
      </c>
      <c r="C1673" s="6" t="str">
        <f t="shared" ref="C1673:C1678" si="80">"男"</f>
        <v>男</v>
      </c>
      <c r="D1673" s="6" t="str">
        <f>"202121040717"</f>
        <v>202121040717</v>
      </c>
      <c r="E1673" s="10" t="s">
        <v>20</v>
      </c>
      <c r="F1673" s="6" t="s">
        <v>23</v>
      </c>
      <c r="G1673" s="8">
        <v>57.7</v>
      </c>
      <c r="H1673" s="6"/>
    </row>
    <row r="1674" spans="1:8">
      <c r="A1674" s="5">
        <v>1498</v>
      </c>
      <c r="B1674" s="6" t="str">
        <f>"谢羊旺"</f>
        <v>谢羊旺</v>
      </c>
      <c r="C1674" s="6" t="str">
        <f t="shared" si="80"/>
        <v>男</v>
      </c>
      <c r="D1674" s="6" t="str">
        <f>"202121040718"</f>
        <v>202121040718</v>
      </c>
      <c r="E1674" s="10" t="s">
        <v>20</v>
      </c>
      <c r="F1674" s="6" t="s">
        <v>23</v>
      </c>
      <c r="G1674" s="8">
        <v>55.5</v>
      </c>
      <c r="H1674" s="6"/>
    </row>
    <row r="1675" spans="1:8">
      <c r="A1675" s="5">
        <v>1493</v>
      </c>
      <c r="B1675" s="6" t="str">
        <f>"蔡坚"</f>
        <v>蔡坚</v>
      </c>
      <c r="C1675" s="6" t="str">
        <f t="shared" si="80"/>
        <v>男</v>
      </c>
      <c r="D1675" s="6" t="str">
        <f>"202121040719"</f>
        <v>202121040719</v>
      </c>
      <c r="E1675" s="10" t="s">
        <v>20</v>
      </c>
      <c r="F1675" s="6" t="s">
        <v>23</v>
      </c>
      <c r="G1675" s="8">
        <v>58.8</v>
      </c>
      <c r="H1675" s="6"/>
    </row>
    <row r="1676" spans="1:8">
      <c r="A1676" s="5">
        <v>1491</v>
      </c>
      <c r="B1676" s="6" t="str">
        <f>"赵家梓"</f>
        <v>赵家梓</v>
      </c>
      <c r="C1676" s="6" t="str">
        <f t="shared" si="80"/>
        <v>男</v>
      </c>
      <c r="D1676" s="6" t="str">
        <f>"202121040720"</f>
        <v>202121040720</v>
      </c>
      <c r="E1676" s="10" t="s">
        <v>20</v>
      </c>
      <c r="F1676" s="6" t="s">
        <v>23</v>
      </c>
      <c r="G1676" s="8">
        <v>61.2</v>
      </c>
      <c r="H1676" s="6"/>
    </row>
    <row r="1677" spans="1:8">
      <c r="A1677" s="5">
        <v>1503</v>
      </c>
      <c r="B1677" s="6" t="str">
        <f>"邓康"</f>
        <v>邓康</v>
      </c>
      <c r="C1677" s="6" t="str">
        <f t="shared" si="80"/>
        <v>男</v>
      </c>
      <c r="D1677" s="6" t="str">
        <f>"202121040721"</f>
        <v>202121040721</v>
      </c>
      <c r="E1677" s="10" t="s">
        <v>20</v>
      </c>
      <c r="F1677" s="6" t="s">
        <v>23</v>
      </c>
      <c r="G1677" s="8">
        <v>0</v>
      </c>
      <c r="H1677" s="9">
        <v>1</v>
      </c>
    </row>
    <row r="1678" spans="1:8">
      <c r="A1678" s="5">
        <v>1487</v>
      </c>
      <c r="B1678" s="6" t="str">
        <f>"杨东旭"</f>
        <v>杨东旭</v>
      </c>
      <c r="C1678" s="6" t="str">
        <f t="shared" si="80"/>
        <v>男</v>
      </c>
      <c r="D1678" s="6" t="str">
        <f>"202121040722"</f>
        <v>202121040722</v>
      </c>
      <c r="E1678" s="10" t="s">
        <v>20</v>
      </c>
      <c r="F1678" s="6" t="s">
        <v>23</v>
      </c>
      <c r="G1678" s="8">
        <v>0</v>
      </c>
      <c r="H1678" s="9">
        <v>1</v>
      </c>
    </row>
    <row r="1679" spans="1:8">
      <c r="A1679" s="5">
        <v>1500</v>
      </c>
      <c r="B1679" s="6" t="str">
        <f>"杨晓林"</f>
        <v>杨晓林</v>
      </c>
      <c r="C1679" s="6" t="str">
        <f>"女"</f>
        <v>女</v>
      </c>
      <c r="D1679" s="6" t="str">
        <f>"202121040723"</f>
        <v>202121040723</v>
      </c>
      <c r="E1679" s="10" t="s">
        <v>20</v>
      </c>
      <c r="F1679" s="6" t="s">
        <v>23</v>
      </c>
      <c r="G1679" s="8">
        <v>56.6</v>
      </c>
      <c r="H1679" s="6"/>
    </row>
    <row r="1680" spans="1:8">
      <c r="A1680" s="5">
        <v>1497</v>
      </c>
      <c r="B1680" s="6" t="str">
        <f>"陈芬"</f>
        <v>陈芬</v>
      </c>
      <c r="C1680" s="6" t="str">
        <f>"女"</f>
        <v>女</v>
      </c>
      <c r="D1680" s="6" t="str">
        <f>"202121040724"</f>
        <v>202121040724</v>
      </c>
      <c r="E1680" s="10" t="s">
        <v>20</v>
      </c>
      <c r="F1680" s="6" t="s">
        <v>23</v>
      </c>
      <c r="G1680" s="8">
        <v>61.4</v>
      </c>
      <c r="H1680" s="6"/>
    </row>
    <row r="1681" spans="1:8">
      <c r="A1681" s="5">
        <v>1548</v>
      </c>
      <c r="B1681" s="6" t="str">
        <f>"刘永达"</f>
        <v>刘永达</v>
      </c>
      <c r="C1681" s="6" t="str">
        <f>"男"</f>
        <v>男</v>
      </c>
      <c r="D1681" s="6" t="str">
        <f>"202122040725"</f>
        <v>202122040725</v>
      </c>
      <c r="E1681" s="10" t="s">
        <v>20</v>
      </c>
      <c r="F1681" s="6" t="s">
        <v>24</v>
      </c>
      <c r="G1681" s="8">
        <v>49.85</v>
      </c>
      <c r="H1681" s="6"/>
    </row>
    <row r="1682" spans="1:8">
      <c r="A1682" s="5">
        <v>1535</v>
      </c>
      <c r="B1682" s="6" t="str">
        <f>"王秀科"</f>
        <v>王秀科</v>
      </c>
      <c r="C1682" s="6" t="str">
        <f>"女"</f>
        <v>女</v>
      </c>
      <c r="D1682" s="6" t="str">
        <f>"202122040726"</f>
        <v>202122040726</v>
      </c>
      <c r="E1682" s="10" t="s">
        <v>20</v>
      </c>
      <c r="F1682" s="6" t="s">
        <v>24</v>
      </c>
      <c r="G1682" s="8">
        <v>57.6</v>
      </c>
      <c r="H1682" s="6"/>
    </row>
    <row r="1683" spans="1:8">
      <c r="A1683" s="5">
        <v>1536</v>
      </c>
      <c r="B1683" s="6" t="str">
        <f>"刘华"</f>
        <v>刘华</v>
      </c>
      <c r="C1683" s="6" t="str">
        <f>"男"</f>
        <v>男</v>
      </c>
      <c r="D1683" s="6" t="str">
        <f>"202122040727"</f>
        <v>202122040727</v>
      </c>
      <c r="E1683" s="10" t="s">
        <v>20</v>
      </c>
      <c r="F1683" s="6" t="s">
        <v>24</v>
      </c>
      <c r="G1683" s="8">
        <v>50.15</v>
      </c>
      <c r="H1683" s="6"/>
    </row>
    <row r="1684" spans="1:8">
      <c r="A1684" s="5">
        <v>1517</v>
      </c>
      <c r="B1684" s="6" t="str">
        <f>"陈文胜"</f>
        <v>陈文胜</v>
      </c>
      <c r="C1684" s="6" t="str">
        <f>"男"</f>
        <v>男</v>
      </c>
      <c r="D1684" s="6" t="str">
        <f>"202122040728"</f>
        <v>202122040728</v>
      </c>
      <c r="E1684" s="10" t="s">
        <v>20</v>
      </c>
      <c r="F1684" s="6" t="s">
        <v>24</v>
      </c>
      <c r="G1684" s="8">
        <v>72.8</v>
      </c>
      <c r="H1684" s="6"/>
    </row>
    <row r="1685" spans="1:8">
      <c r="A1685" s="5">
        <v>1546</v>
      </c>
      <c r="B1685" s="6" t="str">
        <f>"王德新"</f>
        <v>王德新</v>
      </c>
      <c r="C1685" s="6" t="str">
        <f>"男"</f>
        <v>男</v>
      </c>
      <c r="D1685" s="6" t="str">
        <f>"202122040729"</f>
        <v>202122040729</v>
      </c>
      <c r="E1685" s="10" t="s">
        <v>20</v>
      </c>
      <c r="F1685" s="6" t="s">
        <v>24</v>
      </c>
      <c r="G1685" s="8">
        <v>68.8</v>
      </c>
      <c r="H1685" s="6"/>
    </row>
    <row r="1686" spans="1:8">
      <c r="A1686" s="5">
        <v>1545</v>
      </c>
      <c r="B1686" s="6" t="str">
        <f>"张淼"</f>
        <v>张淼</v>
      </c>
      <c r="C1686" s="6" t="str">
        <f>"女"</f>
        <v>女</v>
      </c>
      <c r="D1686" s="6" t="str">
        <f>"202122040730"</f>
        <v>202122040730</v>
      </c>
      <c r="E1686" s="10" t="s">
        <v>20</v>
      </c>
      <c r="F1686" s="6" t="s">
        <v>24</v>
      </c>
      <c r="G1686" s="8">
        <v>48.85</v>
      </c>
      <c r="H1686" s="6"/>
    </row>
    <row r="1687" spans="1:8">
      <c r="A1687" s="5">
        <v>1540</v>
      </c>
      <c r="B1687" s="6" t="str">
        <f>"蒋政翠"</f>
        <v>蒋政翠</v>
      </c>
      <c r="C1687" s="6" t="str">
        <f>"女"</f>
        <v>女</v>
      </c>
      <c r="D1687" s="6" t="str">
        <f>"202122040801"</f>
        <v>202122040801</v>
      </c>
      <c r="E1687" s="10" t="s">
        <v>20</v>
      </c>
      <c r="F1687" s="6" t="s">
        <v>24</v>
      </c>
      <c r="G1687" s="8">
        <v>66.3</v>
      </c>
      <c r="H1687" s="6"/>
    </row>
    <row r="1688" spans="1:8">
      <c r="A1688" s="5">
        <v>1556</v>
      </c>
      <c r="B1688" s="6" t="str">
        <f>"奉谋国"</f>
        <v>奉谋国</v>
      </c>
      <c r="C1688" s="6" t="str">
        <f>"男"</f>
        <v>男</v>
      </c>
      <c r="D1688" s="6" t="str">
        <f>"202122040802"</f>
        <v>202122040802</v>
      </c>
      <c r="E1688" s="10" t="s">
        <v>20</v>
      </c>
      <c r="F1688" s="6" t="s">
        <v>24</v>
      </c>
      <c r="G1688" s="8">
        <v>64.5</v>
      </c>
      <c r="H1688" s="6"/>
    </row>
    <row r="1689" spans="1:8">
      <c r="A1689" s="5">
        <v>1544</v>
      </c>
      <c r="B1689" s="6" t="str">
        <f>"刘国财"</f>
        <v>刘国财</v>
      </c>
      <c r="C1689" s="6" t="str">
        <f>"男"</f>
        <v>男</v>
      </c>
      <c r="D1689" s="6" t="str">
        <f>"202122040803"</f>
        <v>202122040803</v>
      </c>
      <c r="E1689" s="10" t="s">
        <v>20</v>
      </c>
      <c r="F1689" s="6" t="s">
        <v>24</v>
      </c>
      <c r="G1689" s="8">
        <v>62.05</v>
      </c>
      <c r="H1689" s="6"/>
    </row>
    <row r="1690" spans="1:8">
      <c r="A1690" s="5">
        <v>1521</v>
      </c>
      <c r="B1690" s="6" t="str">
        <f>"胡佳铭"</f>
        <v>胡佳铭</v>
      </c>
      <c r="C1690" s="6" t="str">
        <f>"男"</f>
        <v>男</v>
      </c>
      <c r="D1690" s="6" t="str">
        <f>"202122040804"</f>
        <v>202122040804</v>
      </c>
      <c r="E1690" s="10" t="s">
        <v>20</v>
      </c>
      <c r="F1690" s="6" t="s">
        <v>24</v>
      </c>
      <c r="G1690" s="8">
        <v>71.95</v>
      </c>
      <c r="H1690" s="6"/>
    </row>
    <row r="1691" spans="1:8">
      <c r="A1691" s="5">
        <v>1538</v>
      </c>
      <c r="B1691" s="6" t="str">
        <f>"王苏丽"</f>
        <v>王苏丽</v>
      </c>
      <c r="C1691" s="6" t="str">
        <f t="shared" ref="C1691:C1698" si="81">"女"</f>
        <v>女</v>
      </c>
      <c r="D1691" s="6" t="str">
        <f>"202122040805"</f>
        <v>202122040805</v>
      </c>
      <c r="E1691" s="10" t="s">
        <v>20</v>
      </c>
      <c r="F1691" s="6" t="s">
        <v>24</v>
      </c>
      <c r="G1691" s="8">
        <v>62.95</v>
      </c>
      <c r="H1691" s="6"/>
    </row>
    <row r="1692" spans="1:8">
      <c r="A1692" s="5">
        <v>1510</v>
      </c>
      <c r="B1692" s="6" t="str">
        <f>"翟文思"</f>
        <v>翟文思</v>
      </c>
      <c r="C1692" s="6" t="str">
        <f t="shared" si="81"/>
        <v>女</v>
      </c>
      <c r="D1692" s="6" t="str">
        <f>"202122040806"</f>
        <v>202122040806</v>
      </c>
      <c r="E1692" s="10" t="s">
        <v>20</v>
      </c>
      <c r="F1692" s="6" t="s">
        <v>24</v>
      </c>
      <c r="G1692" s="8">
        <v>59.2</v>
      </c>
      <c r="H1692" s="6"/>
    </row>
    <row r="1693" spans="1:8">
      <c r="A1693" s="5">
        <v>1532</v>
      </c>
      <c r="B1693" s="6" t="str">
        <f>"伍梦瑶"</f>
        <v>伍梦瑶</v>
      </c>
      <c r="C1693" s="6" t="str">
        <f t="shared" si="81"/>
        <v>女</v>
      </c>
      <c r="D1693" s="6" t="str">
        <f>"202122040807"</f>
        <v>202122040807</v>
      </c>
      <c r="E1693" s="10" t="s">
        <v>20</v>
      </c>
      <c r="F1693" s="6" t="s">
        <v>24</v>
      </c>
      <c r="G1693" s="8">
        <v>55.2</v>
      </c>
      <c r="H1693" s="6"/>
    </row>
    <row r="1694" spans="1:8">
      <c r="A1694" s="5">
        <v>1557</v>
      </c>
      <c r="B1694" s="6" t="str">
        <f>"戴任琼"</f>
        <v>戴任琼</v>
      </c>
      <c r="C1694" s="6" t="str">
        <f t="shared" si="81"/>
        <v>女</v>
      </c>
      <c r="D1694" s="6" t="str">
        <f>"202122040808"</f>
        <v>202122040808</v>
      </c>
      <c r="E1694" s="10" t="s">
        <v>20</v>
      </c>
      <c r="F1694" s="6" t="s">
        <v>24</v>
      </c>
      <c r="G1694" s="8">
        <v>59</v>
      </c>
      <c r="H1694" s="6"/>
    </row>
    <row r="1695" spans="1:8">
      <c r="A1695" s="5">
        <v>1511</v>
      </c>
      <c r="B1695" s="6" t="str">
        <f>"肖嫒嫒"</f>
        <v>肖嫒嫒</v>
      </c>
      <c r="C1695" s="6" t="str">
        <f t="shared" si="81"/>
        <v>女</v>
      </c>
      <c r="D1695" s="6" t="str">
        <f>"202122040809"</f>
        <v>202122040809</v>
      </c>
      <c r="E1695" s="10" t="s">
        <v>20</v>
      </c>
      <c r="F1695" s="6" t="s">
        <v>24</v>
      </c>
      <c r="G1695" s="8">
        <v>0</v>
      </c>
      <c r="H1695" s="9">
        <v>1</v>
      </c>
    </row>
    <row r="1696" spans="1:8">
      <c r="A1696" s="5">
        <v>1518</v>
      </c>
      <c r="B1696" s="6" t="str">
        <f>"贺瑶瑶"</f>
        <v>贺瑶瑶</v>
      </c>
      <c r="C1696" s="6" t="str">
        <f t="shared" si="81"/>
        <v>女</v>
      </c>
      <c r="D1696" s="6" t="str">
        <f>"202122040810"</f>
        <v>202122040810</v>
      </c>
      <c r="E1696" s="10" t="s">
        <v>20</v>
      </c>
      <c r="F1696" s="6" t="s">
        <v>24</v>
      </c>
      <c r="G1696" s="8">
        <v>64.45</v>
      </c>
      <c r="H1696" s="6"/>
    </row>
    <row r="1697" spans="1:8">
      <c r="A1697" s="5">
        <v>1533</v>
      </c>
      <c r="B1697" s="6" t="str">
        <f>"唐雪晴"</f>
        <v>唐雪晴</v>
      </c>
      <c r="C1697" s="6" t="str">
        <f t="shared" si="81"/>
        <v>女</v>
      </c>
      <c r="D1697" s="6" t="str">
        <f>"202122040811"</f>
        <v>202122040811</v>
      </c>
      <c r="E1697" s="10" t="s">
        <v>20</v>
      </c>
      <c r="F1697" s="6" t="s">
        <v>24</v>
      </c>
      <c r="G1697" s="8">
        <v>54.75</v>
      </c>
      <c r="H1697" s="6"/>
    </row>
    <row r="1698" spans="1:8">
      <c r="A1698" s="5">
        <v>1508</v>
      </c>
      <c r="B1698" s="6" t="str">
        <f>"郑美玲"</f>
        <v>郑美玲</v>
      </c>
      <c r="C1698" s="6" t="str">
        <f t="shared" si="81"/>
        <v>女</v>
      </c>
      <c r="D1698" s="6" t="str">
        <f>"202122040812"</f>
        <v>202122040812</v>
      </c>
      <c r="E1698" s="10" t="s">
        <v>20</v>
      </c>
      <c r="F1698" s="6" t="s">
        <v>24</v>
      </c>
      <c r="G1698" s="8">
        <v>0</v>
      </c>
      <c r="H1698" s="9">
        <v>1</v>
      </c>
    </row>
    <row r="1699" spans="1:8">
      <c r="A1699" s="5">
        <v>1543</v>
      </c>
      <c r="B1699" s="6" t="str">
        <f>"李太平"</f>
        <v>李太平</v>
      </c>
      <c r="C1699" s="6" t="str">
        <f>"男"</f>
        <v>男</v>
      </c>
      <c r="D1699" s="6" t="str">
        <f>"202122040813"</f>
        <v>202122040813</v>
      </c>
      <c r="E1699" s="10" t="s">
        <v>20</v>
      </c>
      <c r="F1699" s="6" t="s">
        <v>24</v>
      </c>
      <c r="G1699" s="8">
        <v>55.75</v>
      </c>
      <c r="H1699" s="6"/>
    </row>
    <row r="1700" spans="1:8">
      <c r="A1700" s="5">
        <v>1547</v>
      </c>
      <c r="B1700" s="6" t="str">
        <f>"吴强"</f>
        <v>吴强</v>
      </c>
      <c r="C1700" s="6" t="str">
        <f>"男"</f>
        <v>男</v>
      </c>
      <c r="D1700" s="6" t="str">
        <f>"202122040814"</f>
        <v>202122040814</v>
      </c>
      <c r="E1700" s="10" t="s">
        <v>20</v>
      </c>
      <c r="F1700" s="6" t="s">
        <v>24</v>
      </c>
      <c r="G1700" s="8">
        <v>60.65</v>
      </c>
      <c r="H1700" s="6"/>
    </row>
    <row r="1701" spans="1:8">
      <c r="A1701" s="5">
        <v>1531</v>
      </c>
      <c r="B1701" s="6" t="str">
        <f>"谢素湘"</f>
        <v>谢素湘</v>
      </c>
      <c r="C1701" s="6" t="str">
        <f>"女"</f>
        <v>女</v>
      </c>
      <c r="D1701" s="6" t="str">
        <f>"202122040815"</f>
        <v>202122040815</v>
      </c>
      <c r="E1701" s="10" t="s">
        <v>20</v>
      </c>
      <c r="F1701" s="6" t="s">
        <v>24</v>
      </c>
      <c r="G1701" s="8">
        <v>62.65</v>
      </c>
      <c r="H1701" s="6"/>
    </row>
    <row r="1702" spans="1:8">
      <c r="A1702" s="5">
        <v>1539</v>
      </c>
      <c r="B1702" s="6" t="str">
        <f>"夏爽"</f>
        <v>夏爽</v>
      </c>
      <c r="C1702" s="6" t="str">
        <f>"男"</f>
        <v>男</v>
      </c>
      <c r="D1702" s="6" t="str">
        <f>"202122040816"</f>
        <v>202122040816</v>
      </c>
      <c r="E1702" s="10" t="s">
        <v>20</v>
      </c>
      <c r="F1702" s="6" t="s">
        <v>24</v>
      </c>
      <c r="G1702" s="8">
        <v>50.35</v>
      </c>
      <c r="H1702" s="6"/>
    </row>
    <row r="1703" spans="1:8">
      <c r="A1703" s="5">
        <v>1528</v>
      </c>
      <c r="B1703" s="6" t="str">
        <f>"杨美霞"</f>
        <v>杨美霞</v>
      </c>
      <c r="C1703" s="6" t="str">
        <f>"女"</f>
        <v>女</v>
      </c>
      <c r="D1703" s="6" t="str">
        <f>"202122040817"</f>
        <v>202122040817</v>
      </c>
      <c r="E1703" s="10" t="s">
        <v>20</v>
      </c>
      <c r="F1703" s="6" t="s">
        <v>24</v>
      </c>
      <c r="G1703" s="8">
        <v>56.4</v>
      </c>
      <c r="H1703" s="6"/>
    </row>
    <row r="1704" spans="1:8">
      <c r="A1704" s="5">
        <v>1527</v>
      </c>
      <c r="B1704" s="6" t="str">
        <f>"杨政"</f>
        <v>杨政</v>
      </c>
      <c r="C1704" s="6" t="str">
        <f>"男"</f>
        <v>男</v>
      </c>
      <c r="D1704" s="6" t="str">
        <f>"202122040818"</f>
        <v>202122040818</v>
      </c>
      <c r="E1704" s="10" t="s">
        <v>20</v>
      </c>
      <c r="F1704" s="6" t="s">
        <v>24</v>
      </c>
      <c r="G1704" s="8">
        <v>0</v>
      </c>
      <c r="H1704" s="9">
        <v>1</v>
      </c>
    </row>
    <row r="1705" spans="1:8">
      <c r="A1705" s="5">
        <v>1555</v>
      </c>
      <c r="B1705" s="6" t="str">
        <f>"曾德文"</f>
        <v>曾德文</v>
      </c>
      <c r="C1705" s="6" t="str">
        <f>"男"</f>
        <v>男</v>
      </c>
      <c r="D1705" s="6" t="str">
        <f>"202122040819"</f>
        <v>202122040819</v>
      </c>
      <c r="E1705" s="10" t="s">
        <v>20</v>
      </c>
      <c r="F1705" s="6" t="s">
        <v>24</v>
      </c>
      <c r="G1705" s="8">
        <v>66.599999999999994</v>
      </c>
      <c r="H1705" s="6"/>
    </row>
    <row r="1706" spans="1:8">
      <c r="A1706" s="5">
        <v>1542</v>
      </c>
      <c r="B1706" s="6" t="str">
        <f>"杨腾"</f>
        <v>杨腾</v>
      </c>
      <c r="C1706" s="6" t="str">
        <f>"男"</f>
        <v>男</v>
      </c>
      <c r="D1706" s="6" t="str">
        <f>"202122040820"</f>
        <v>202122040820</v>
      </c>
      <c r="E1706" s="10" t="s">
        <v>20</v>
      </c>
      <c r="F1706" s="6" t="s">
        <v>24</v>
      </c>
      <c r="G1706" s="8">
        <v>60.25</v>
      </c>
      <c r="H1706" s="6"/>
    </row>
    <row r="1707" spans="1:8">
      <c r="A1707" s="5">
        <v>1534</v>
      </c>
      <c r="B1707" s="6" t="str">
        <f>"周金琛泰"</f>
        <v>周金琛泰</v>
      </c>
      <c r="C1707" s="6" t="str">
        <f>"男"</f>
        <v>男</v>
      </c>
      <c r="D1707" s="6" t="str">
        <f>"202122040821"</f>
        <v>202122040821</v>
      </c>
      <c r="E1707" s="10" t="s">
        <v>20</v>
      </c>
      <c r="F1707" s="6" t="s">
        <v>24</v>
      </c>
      <c r="G1707" s="8">
        <v>72.099999999999994</v>
      </c>
      <c r="H1707" s="6"/>
    </row>
    <row r="1708" spans="1:8">
      <c r="A1708" s="5">
        <v>1526</v>
      </c>
      <c r="B1708" s="6" t="str">
        <f>"李颖"</f>
        <v>李颖</v>
      </c>
      <c r="C1708" s="6" t="str">
        <f>"女"</f>
        <v>女</v>
      </c>
      <c r="D1708" s="6" t="str">
        <f>"202122040822"</f>
        <v>202122040822</v>
      </c>
      <c r="E1708" s="10" t="s">
        <v>20</v>
      </c>
      <c r="F1708" s="6" t="s">
        <v>24</v>
      </c>
      <c r="G1708" s="8">
        <v>64.599999999999994</v>
      </c>
      <c r="H1708" s="6"/>
    </row>
    <row r="1709" spans="1:8">
      <c r="A1709" s="5">
        <v>1513</v>
      </c>
      <c r="B1709" s="6" t="str">
        <f>"唐兰花"</f>
        <v>唐兰花</v>
      </c>
      <c r="C1709" s="6" t="str">
        <f>"女"</f>
        <v>女</v>
      </c>
      <c r="D1709" s="6" t="str">
        <f>"202122040823"</f>
        <v>202122040823</v>
      </c>
      <c r="E1709" s="10" t="s">
        <v>20</v>
      </c>
      <c r="F1709" s="6" t="s">
        <v>24</v>
      </c>
      <c r="G1709" s="8">
        <v>0</v>
      </c>
      <c r="H1709" s="9">
        <v>1</v>
      </c>
    </row>
    <row r="1710" spans="1:8">
      <c r="A1710" s="5">
        <v>1549</v>
      </c>
      <c r="B1710" s="6" t="str">
        <f>"兰玉玲"</f>
        <v>兰玉玲</v>
      </c>
      <c r="C1710" s="6" t="str">
        <f>"女"</f>
        <v>女</v>
      </c>
      <c r="D1710" s="6" t="str">
        <f>"202122040824"</f>
        <v>202122040824</v>
      </c>
      <c r="E1710" s="10" t="s">
        <v>20</v>
      </c>
      <c r="F1710" s="6" t="s">
        <v>24</v>
      </c>
      <c r="G1710" s="8">
        <v>50.75</v>
      </c>
      <c r="H1710" s="6"/>
    </row>
    <row r="1711" spans="1:8">
      <c r="A1711" s="5">
        <v>1519</v>
      </c>
      <c r="B1711" s="6" t="str">
        <f>"吕婷"</f>
        <v>吕婷</v>
      </c>
      <c r="C1711" s="6" t="str">
        <f>"女"</f>
        <v>女</v>
      </c>
      <c r="D1711" s="6" t="str">
        <f>"202122040825"</f>
        <v>202122040825</v>
      </c>
      <c r="E1711" s="10" t="s">
        <v>20</v>
      </c>
      <c r="F1711" s="6" t="s">
        <v>24</v>
      </c>
      <c r="G1711" s="8">
        <v>0</v>
      </c>
      <c r="H1711" s="9">
        <v>1</v>
      </c>
    </row>
    <row r="1712" spans="1:8">
      <c r="A1712" s="5">
        <v>1520</v>
      </c>
      <c r="B1712" s="6" t="str">
        <f>"罗序芳"</f>
        <v>罗序芳</v>
      </c>
      <c r="C1712" s="6" t="str">
        <f>"女"</f>
        <v>女</v>
      </c>
      <c r="D1712" s="6" t="str">
        <f>"202122040826"</f>
        <v>202122040826</v>
      </c>
      <c r="E1712" s="10" t="s">
        <v>20</v>
      </c>
      <c r="F1712" s="6" t="s">
        <v>24</v>
      </c>
      <c r="G1712" s="8">
        <v>69.8</v>
      </c>
      <c r="H1712" s="6"/>
    </row>
    <row r="1713" spans="1:8">
      <c r="A1713" s="5">
        <v>1512</v>
      </c>
      <c r="B1713" s="6" t="str">
        <f>"蒋林志"</f>
        <v>蒋林志</v>
      </c>
      <c r="C1713" s="6" t="str">
        <f>"男"</f>
        <v>男</v>
      </c>
      <c r="D1713" s="6" t="str">
        <f>"202122040827"</f>
        <v>202122040827</v>
      </c>
      <c r="E1713" s="10" t="s">
        <v>20</v>
      </c>
      <c r="F1713" s="6" t="s">
        <v>24</v>
      </c>
      <c r="G1713" s="8">
        <v>0</v>
      </c>
      <c r="H1713" s="9">
        <v>1</v>
      </c>
    </row>
    <row r="1714" spans="1:8">
      <c r="A1714" s="5">
        <v>1524</v>
      </c>
      <c r="B1714" s="6" t="str">
        <f>"陈庆沙"</f>
        <v>陈庆沙</v>
      </c>
      <c r="C1714" s="6" t="str">
        <f>"女"</f>
        <v>女</v>
      </c>
      <c r="D1714" s="6" t="str">
        <f>"202122040828"</f>
        <v>202122040828</v>
      </c>
      <c r="E1714" s="10" t="s">
        <v>20</v>
      </c>
      <c r="F1714" s="6" t="s">
        <v>24</v>
      </c>
      <c r="G1714" s="8">
        <v>61.35</v>
      </c>
      <c r="H1714" s="6"/>
    </row>
    <row r="1715" spans="1:8">
      <c r="A1715" s="5">
        <v>1514</v>
      </c>
      <c r="B1715" s="6" t="str">
        <f>"周和纯"</f>
        <v>周和纯</v>
      </c>
      <c r="C1715" s="6" t="str">
        <f>"男"</f>
        <v>男</v>
      </c>
      <c r="D1715" s="6" t="str">
        <f>"202122040829"</f>
        <v>202122040829</v>
      </c>
      <c r="E1715" s="10" t="s">
        <v>20</v>
      </c>
      <c r="F1715" s="6" t="s">
        <v>24</v>
      </c>
      <c r="G1715" s="8">
        <v>61.15</v>
      </c>
      <c r="H1715" s="6"/>
    </row>
    <row r="1716" spans="1:8">
      <c r="A1716" s="5">
        <v>1530</v>
      </c>
      <c r="B1716" s="6" t="str">
        <f>"伍杰"</f>
        <v>伍杰</v>
      </c>
      <c r="C1716" s="6" t="str">
        <f>"男"</f>
        <v>男</v>
      </c>
      <c r="D1716" s="6" t="str">
        <f>"202122040830"</f>
        <v>202122040830</v>
      </c>
      <c r="E1716" s="10" t="s">
        <v>20</v>
      </c>
      <c r="F1716" s="6" t="s">
        <v>24</v>
      </c>
      <c r="G1716" s="8">
        <v>54.15</v>
      </c>
      <c r="H1716" s="6"/>
    </row>
    <row r="1717" spans="1:8">
      <c r="A1717" s="5">
        <v>1541</v>
      </c>
      <c r="B1717" s="6" t="str">
        <f>"唐旭"</f>
        <v>唐旭</v>
      </c>
      <c r="C1717" s="6" t="str">
        <f>"男"</f>
        <v>男</v>
      </c>
      <c r="D1717" s="6" t="str">
        <f>"202122040901"</f>
        <v>202122040901</v>
      </c>
      <c r="E1717" s="10" t="s">
        <v>20</v>
      </c>
      <c r="F1717" s="6" t="s">
        <v>24</v>
      </c>
      <c r="G1717" s="8">
        <v>59.15</v>
      </c>
      <c r="H1717" s="6"/>
    </row>
    <row r="1718" spans="1:8">
      <c r="A1718" s="5">
        <v>1523</v>
      </c>
      <c r="B1718" s="6" t="str">
        <f>"全佳飞"</f>
        <v>全佳飞</v>
      </c>
      <c r="C1718" s="6" t="str">
        <f>"男"</f>
        <v>男</v>
      </c>
      <c r="D1718" s="6" t="str">
        <f>"202122040902"</f>
        <v>202122040902</v>
      </c>
      <c r="E1718" s="10" t="s">
        <v>20</v>
      </c>
      <c r="F1718" s="6" t="s">
        <v>24</v>
      </c>
      <c r="G1718" s="8">
        <v>61.5</v>
      </c>
      <c r="H1718" s="6"/>
    </row>
    <row r="1719" spans="1:8">
      <c r="A1719" s="5">
        <v>1551</v>
      </c>
      <c r="B1719" s="6" t="str">
        <f>"刘诗成"</f>
        <v>刘诗成</v>
      </c>
      <c r="C1719" s="6" t="str">
        <f>"男"</f>
        <v>男</v>
      </c>
      <c r="D1719" s="6" t="str">
        <f>"202122040903"</f>
        <v>202122040903</v>
      </c>
      <c r="E1719" s="10" t="s">
        <v>20</v>
      </c>
      <c r="F1719" s="6" t="s">
        <v>24</v>
      </c>
      <c r="G1719" s="8">
        <v>63.85</v>
      </c>
      <c r="H1719" s="6"/>
    </row>
    <row r="1720" spans="1:8">
      <c r="A1720" s="5">
        <v>1537</v>
      </c>
      <c r="B1720" s="6" t="str">
        <f>"刘慧芬"</f>
        <v>刘慧芬</v>
      </c>
      <c r="C1720" s="6" t="str">
        <f>"女"</f>
        <v>女</v>
      </c>
      <c r="D1720" s="6" t="str">
        <f>"202122040904"</f>
        <v>202122040904</v>
      </c>
      <c r="E1720" s="10" t="s">
        <v>20</v>
      </c>
      <c r="F1720" s="6" t="s">
        <v>24</v>
      </c>
      <c r="G1720" s="8">
        <v>73.7</v>
      </c>
      <c r="H1720" s="6"/>
    </row>
    <row r="1721" spans="1:8">
      <c r="A1721" s="5">
        <v>1515</v>
      </c>
      <c r="B1721" s="6" t="str">
        <f>"王雅筠"</f>
        <v>王雅筠</v>
      </c>
      <c r="C1721" s="6" t="str">
        <f>"女"</f>
        <v>女</v>
      </c>
      <c r="D1721" s="6" t="str">
        <f>"202122040905"</f>
        <v>202122040905</v>
      </c>
      <c r="E1721" s="10" t="s">
        <v>20</v>
      </c>
      <c r="F1721" s="6" t="s">
        <v>24</v>
      </c>
      <c r="G1721" s="8">
        <v>54.75</v>
      </c>
      <c r="H1721" s="6"/>
    </row>
    <row r="1722" spans="1:8">
      <c r="A1722" s="5">
        <v>1509</v>
      </c>
      <c r="B1722" s="6" t="str">
        <f>"胡香归"</f>
        <v>胡香归</v>
      </c>
      <c r="C1722" s="6" t="str">
        <f>"男"</f>
        <v>男</v>
      </c>
      <c r="D1722" s="6" t="str">
        <f>"202122040906"</f>
        <v>202122040906</v>
      </c>
      <c r="E1722" s="10" t="s">
        <v>20</v>
      </c>
      <c r="F1722" s="6" t="s">
        <v>24</v>
      </c>
      <c r="G1722" s="8">
        <v>0</v>
      </c>
      <c r="H1722" s="9">
        <v>1</v>
      </c>
    </row>
    <row r="1723" spans="1:8">
      <c r="A1723" s="5">
        <v>1550</v>
      </c>
      <c r="B1723" s="6" t="str">
        <f>"刘晖"</f>
        <v>刘晖</v>
      </c>
      <c r="C1723" s="6" t="str">
        <f>"男"</f>
        <v>男</v>
      </c>
      <c r="D1723" s="6" t="str">
        <f>"202122040907"</f>
        <v>202122040907</v>
      </c>
      <c r="E1723" s="10" t="s">
        <v>20</v>
      </c>
      <c r="F1723" s="6" t="s">
        <v>24</v>
      </c>
      <c r="G1723" s="8">
        <v>45.8</v>
      </c>
      <c r="H1723" s="6"/>
    </row>
    <row r="1724" spans="1:8">
      <c r="A1724" s="5">
        <v>1553</v>
      </c>
      <c r="B1724" s="6" t="str">
        <f>"马冰玉"</f>
        <v>马冰玉</v>
      </c>
      <c r="C1724" s="6" t="str">
        <f>"男"</f>
        <v>男</v>
      </c>
      <c r="D1724" s="6" t="str">
        <f>"202122040908"</f>
        <v>202122040908</v>
      </c>
      <c r="E1724" s="10" t="s">
        <v>20</v>
      </c>
      <c r="F1724" s="6" t="s">
        <v>24</v>
      </c>
      <c r="G1724" s="8">
        <v>57.85</v>
      </c>
      <c r="H1724" s="6"/>
    </row>
    <row r="1725" spans="1:8">
      <c r="A1725" s="5">
        <v>1522</v>
      </c>
      <c r="B1725" s="6" t="str">
        <f>"丁文强"</f>
        <v>丁文强</v>
      </c>
      <c r="C1725" s="6" t="str">
        <f>"男"</f>
        <v>男</v>
      </c>
      <c r="D1725" s="6" t="str">
        <f>"202122040909"</f>
        <v>202122040909</v>
      </c>
      <c r="E1725" s="10" t="s">
        <v>20</v>
      </c>
      <c r="F1725" s="6" t="s">
        <v>24</v>
      </c>
      <c r="G1725" s="8">
        <v>0</v>
      </c>
      <c r="H1725" s="9">
        <v>1</v>
      </c>
    </row>
    <row r="1726" spans="1:8">
      <c r="A1726" s="5">
        <v>1552</v>
      </c>
      <c r="B1726" s="6" t="str">
        <f>"黄芯妮"</f>
        <v>黄芯妮</v>
      </c>
      <c r="C1726" s="6" t="str">
        <f>"女"</f>
        <v>女</v>
      </c>
      <c r="D1726" s="6" t="str">
        <f>"202122040910"</f>
        <v>202122040910</v>
      </c>
      <c r="E1726" s="10" t="s">
        <v>20</v>
      </c>
      <c r="F1726" s="6" t="s">
        <v>24</v>
      </c>
      <c r="G1726" s="8">
        <v>55.4</v>
      </c>
      <c r="H1726" s="6"/>
    </row>
    <row r="1727" spans="1:8">
      <c r="A1727" s="5">
        <v>1507</v>
      </c>
      <c r="B1727" s="6" t="str">
        <f>"邓利"</f>
        <v>邓利</v>
      </c>
      <c r="C1727" s="6" t="str">
        <f>"女"</f>
        <v>女</v>
      </c>
      <c r="D1727" s="6" t="str">
        <f>"202122040911"</f>
        <v>202122040911</v>
      </c>
      <c r="E1727" s="10" t="s">
        <v>20</v>
      </c>
      <c r="F1727" s="6" t="s">
        <v>24</v>
      </c>
      <c r="G1727" s="8">
        <v>0</v>
      </c>
      <c r="H1727" s="9">
        <v>1</v>
      </c>
    </row>
    <row r="1728" spans="1:8">
      <c r="A1728" s="5">
        <v>1529</v>
      </c>
      <c r="B1728" s="6" t="str">
        <f>"卢水金"</f>
        <v>卢水金</v>
      </c>
      <c r="C1728" s="6" t="str">
        <f>"女"</f>
        <v>女</v>
      </c>
      <c r="D1728" s="6" t="str">
        <f>"202122040912"</f>
        <v>202122040912</v>
      </c>
      <c r="E1728" s="10" t="s">
        <v>20</v>
      </c>
      <c r="F1728" s="6" t="s">
        <v>24</v>
      </c>
      <c r="G1728" s="8">
        <v>51</v>
      </c>
      <c r="H1728" s="6"/>
    </row>
    <row r="1729" spans="1:8">
      <c r="A1729" s="5">
        <v>1516</v>
      </c>
      <c r="B1729" s="6" t="str">
        <f>"李卯菊"</f>
        <v>李卯菊</v>
      </c>
      <c r="C1729" s="6" t="str">
        <f>"女"</f>
        <v>女</v>
      </c>
      <c r="D1729" s="6" t="str">
        <f>"202122040913"</f>
        <v>202122040913</v>
      </c>
      <c r="E1729" s="10" t="s">
        <v>20</v>
      </c>
      <c r="F1729" s="6" t="s">
        <v>24</v>
      </c>
      <c r="G1729" s="8">
        <v>60.5</v>
      </c>
      <c r="H1729" s="6"/>
    </row>
    <row r="1730" spans="1:8">
      <c r="A1730" s="5">
        <v>1525</v>
      </c>
      <c r="B1730" s="6" t="str">
        <f>"吴锦"</f>
        <v>吴锦</v>
      </c>
      <c r="C1730" s="6" t="str">
        <f>"女"</f>
        <v>女</v>
      </c>
      <c r="D1730" s="6" t="str">
        <f>"202122040914"</f>
        <v>202122040914</v>
      </c>
      <c r="E1730" s="10" t="s">
        <v>20</v>
      </c>
      <c r="F1730" s="6" t="s">
        <v>24</v>
      </c>
      <c r="G1730" s="8">
        <v>56</v>
      </c>
      <c r="H1730" s="6"/>
    </row>
    <row r="1731" spans="1:8">
      <c r="A1731" s="5">
        <v>1554</v>
      </c>
      <c r="B1731" s="6" t="str">
        <f>"熊立新"</f>
        <v>熊立新</v>
      </c>
      <c r="C1731" s="6" t="str">
        <f>"男"</f>
        <v>男</v>
      </c>
      <c r="D1731" s="6" t="str">
        <f>"202122040915"</f>
        <v>202122040915</v>
      </c>
      <c r="E1731" s="10" t="s">
        <v>20</v>
      </c>
      <c r="F1731" s="6" t="s">
        <v>24</v>
      </c>
      <c r="G1731" s="8">
        <v>69.349999999999994</v>
      </c>
      <c r="H1731" s="6"/>
    </row>
    <row r="1732" spans="1:8">
      <c r="A1732" s="5">
        <v>1599</v>
      </c>
      <c r="B1732" s="6" t="str">
        <f>"肖异昭"</f>
        <v>肖异昭</v>
      </c>
      <c r="C1732" s="6" t="str">
        <f t="shared" ref="C1732:C1760" si="82">"女"</f>
        <v>女</v>
      </c>
      <c r="D1732" s="6" t="str">
        <f>"202123041101"</f>
        <v>202123041101</v>
      </c>
      <c r="E1732" s="10" t="s">
        <v>20</v>
      </c>
      <c r="F1732" s="6" t="s">
        <v>25</v>
      </c>
      <c r="G1732" s="8">
        <v>59</v>
      </c>
      <c r="H1732" s="6"/>
    </row>
    <row r="1733" spans="1:8">
      <c r="A1733" s="5">
        <v>1614</v>
      </c>
      <c r="B1733" s="6" t="str">
        <f>"朱晓玲"</f>
        <v>朱晓玲</v>
      </c>
      <c r="C1733" s="6" t="str">
        <f t="shared" si="82"/>
        <v>女</v>
      </c>
      <c r="D1733" s="6" t="str">
        <f>"202123041102"</f>
        <v>202123041102</v>
      </c>
      <c r="E1733" s="10" t="s">
        <v>20</v>
      </c>
      <c r="F1733" s="6" t="s">
        <v>25</v>
      </c>
      <c r="G1733" s="8">
        <v>60.9</v>
      </c>
      <c r="H1733" s="6"/>
    </row>
    <row r="1734" spans="1:8">
      <c r="A1734" s="5">
        <v>1603</v>
      </c>
      <c r="B1734" s="6" t="str">
        <f>"罗翠娟"</f>
        <v>罗翠娟</v>
      </c>
      <c r="C1734" s="6" t="str">
        <f t="shared" si="82"/>
        <v>女</v>
      </c>
      <c r="D1734" s="6" t="str">
        <f>"202123041103"</f>
        <v>202123041103</v>
      </c>
      <c r="E1734" s="10" t="s">
        <v>20</v>
      </c>
      <c r="F1734" s="6" t="s">
        <v>25</v>
      </c>
      <c r="G1734" s="8">
        <v>75.45</v>
      </c>
      <c r="H1734" s="6"/>
    </row>
    <row r="1735" spans="1:8">
      <c r="A1735" s="5">
        <v>1567</v>
      </c>
      <c r="B1735" s="6" t="str">
        <f>"罗倩"</f>
        <v>罗倩</v>
      </c>
      <c r="C1735" s="6" t="str">
        <f t="shared" si="82"/>
        <v>女</v>
      </c>
      <c r="D1735" s="6" t="str">
        <f>"202123041104"</f>
        <v>202123041104</v>
      </c>
      <c r="E1735" s="10" t="s">
        <v>20</v>
      </c>
      <c r="F1735" s="6" t="s">
        <v>25</v>
      </c>
      <c r="G1735" s="8">
        <v>44.9</v>
      </c>
      <c r="H1735" s="6"/>
    </row>
    <row r="1736" spans="1:8">
      <c r="A1736" s="5">
        <v>1573</v>
      </c>
      <c r="B1736" s="6" t="str">
        <f>"谢静"</f>
        <v>谢静</v>
      </c>
      <c r="C1736" s="6" t="str">
        <f t="shared" si="82"/>
        <v>女</v>
      </c>
      <c r="D1736" s="6" t="str">
        <f>"202123041105"</f>
        <v>202123041105</v>
      </c>
      <c r="E1736" s="10" t="s">
        <v>20</v>
      </c>
      <c r="F1736" s="6" t="s">
        <v>25</v>
      </c>
      <c r="G1736" s="8">
        <v>78.05</v>
      </c>
      <c r="H1736" s="6"/>
    </row>
    <row r="1737" spans="1:8">
      <c r="A1737" s="5">
        <v>1596</v>
      </c>
      <c r="B1737" s="6" t="str">
        <f>"郑璐"</f>
        <v>郑璐</v>
      </c>
      <c r="C1737" s="6" t="str">
        <f t="shared" si="82"/>
        <v>女</v>
      </c>
      <c r="D1737" s="6" t="str">
        <f>"202123041106"</f>
        <v>202123041106</v>
      </c>
      <c r="E1737" s="10" t="s">
        <v>20</v>
      </c>
      <c r="F1737" s="6" t="s">
        <v>25</v>
      </c>
      <c r="G1737" s="8">
        <v>0</v>
      </c>
      <c r="H1737" s="9">
        <v>1</v>
      </c>
    </row>
    <row r="1738" spans="1:8">
      <c r="A1738" s="5">
        <v>1622</v>
      </c>
      <c r="B1738" s="6" t="str">
        <f>"徐文静"</f>
        <v>徐文静</v>
      </c>
      <c r="C1738" s="6" t="str">
        <f t="shared" si="82"/>
        <v>女</v>
      </c>
      <c r="D1738" s="6" t="str">
        <f>"202123041107"</f>
        <v>202123041107</v>
      </c>
      <c r="E1738" s="10" t="s">
        <v>20</v>
      </c>
      <c r="F1738" s="6" t="s">
        <v>25</v>
      </c>
      <c r="G1738" s="8">
        <v>75.95</v>
      </c>
      <c r="H1738" s="6"/>
    </row>
    <row r="1739" spans="1:8">
      <c r="A1739" s="5">
        <v>1632</v>
      </c>
      <c r="B1739" s="6" t="str">
        <f>"明雪"</f>
        <v>明雪</v>
      </c>
      <c r="C1739" s="6" t="str">
        <f t="shared" si="82"/>
        <v>女</v>
      </c>
      <c r="D1739" s="6" t="str">
        <f>"202123041108"</f>
        <v>202123041108</v>
      </c>
      <c r="E1739" s="10" t="s">
        <v>20</v>
      </c>
      <c r="F1739" s="6" t="s">
        <v>25</v>
      </c>
      <c r="G1739" s="8">
        <v>75.3</v>
      </c>
      <c r="H1739" s="6"/>
    </row>
    <row r="1740" spans="1:8">
      <c r="A1740" s="5">
        <v>1568</v>
      </c>
      <c r="B1740" s="6" t="str">
        <f>"周依"</f>
        <v>周依</v>
      </c>
      <c r="C1740" s="6" t="str">
        <f t="shared" si="82"/>
        <v>女</v>
      </c>
      <c r="D1740" s="6" t="str">
        <f>"202123041109"</f>
        <v>202123041109</v>
      </c>
      <c r="E1740" s="10" t="s">
        <v>20</v>
      </c>
      <c r="F1740" s="6" t="s">
        <v>25</v>
      </c>
      <c r="G1740" s="8">
        <v>81.849999999999994</v>
      </c>
      <c r="H1740" s="6"/>
    </row>
    <row r="1741" spans="1:8">
      <c r="A1741" s="5">
        <v>1590</v>
      </c>
      <c r="B1741" s="6" t="str">
        <f>"杨奕"</f>
        <v>杨奕</v>
      </c>
      <c r="C1741" s="6" t="str">
        <f t="shared" si="82"/>
        <v>女</v>
      </c>
      <c r="D1741" s="6" t="str">
        <f>"202123041110"</f>
        <v>202123041110</v>
      </c>
      <c r="E1741" s="10" t="s">
        <v>20</v>
      </c>
      <c r="F1741" s="6" t="s">
        <v>25</v>
      </c>
      <c r="G1741" s="8">
        <v>78.349999999999994</v>
      </c>
      <c r="H1741" s="6"/>
    </row>
    <row r="1742" spans="1:8">
      <c r="A1742" s="5">
        <v>1571</v>
      </c>
      <c r="B1742" s="6" t="str">
        <f>"唐柳"</f>
        <v>唐柳</v>
      </c>
      <c r="C1742" s="6" t="str">
        <f t="shared" si="82"/>
        <v>女</v>
      </c>
      <c r="D1742" s="6" t="str">
        <f>"202123041111"</f>
        <v>202123041111</v>
      </c>
      <c r="E1742" s="10" t="s">
        <v>20</v>
      </c>
      <c r="F1742" s="6" t="s">
        <v>25</v>
      </c>
      <c r="G1742" s="8">
        <v>72.3</v>
      </c>
      <c r="H1742" s="6"/>
    </row>
    <row r="1743" spans="1:8">
      <c r="A1743" s="5">
        <v>1615</v>
      </c>
      <c r="B1743" s="6" t="str">
        <f>"李巧"</f>
        <v>李巧</v>
      </c>
      <c r="C1743" s="6" t="str">
        <f t="shared" si="82"/>
        <v>女</v>
      </c>
      <c r="D1743" s="6" t="str">
        <f>"202123041112"</f>
        <v>202123041112</v>
      </c>
      <c r="E1743" s="10" t="s">
        <v>20</v>
      </c>
      <c r="F1743" s="6" t="s">
        <v>25</v>
      </c>
      <c r="G1743" s="8">
        <v>68.8</v>
      </c>
      <c r="H1743" s="6"/>
    </row>
    <row r="1744" spans="1:8">
      <c r="A1744" s="5">
        <v>1637</v>
      </c>
      <c r="B1744" s="6" t="str">
        <f>"肖薇"</f>
        <v>肖薇</v>
      </c>
      <c r="C1744" s="6" t="str">
        <f t="shared" si="82"/>
        <v>女</v>
      </c>
      <c r="D1744" s="6" t="str">
        <f>"202123041113"</f>
        <v>202123041113</v>
      </c>
      <c r="E1744" s="10" t="s">
        <v>20</v>
      </c>
      <c r="F1744" s="6" t="s">
        <v>25</v>
      </c>
      <c r="G1744" s="8">
        <v>64</v>
      </c>
      <c r="H1744" s="6"/>
    </row>
    <row r="1745" spans="1:8">
      <c r="A1745" s="5">
        <v>1594</v>
      </c>
      <c r="B1745" s="6" t="str">
        <f>"刘露"</f>
        <v>刘露</v>
      </c>
      <c r="C1745" s="6" t="str">
        <f t="shared" si="82"/>
        <v>女</v>
      </c>
      <c r="D1745" s="6" t="str">
        <f>"202123041114"</f>
        <v>202123041114</v>
      </c>
      <c r="E1745" s="10" t="s">
        <v>20</v>
      </c>
      <c r="F1745" s="6" t="s">
        <v>25</v>
      </c>
      <c r="G1745" s="8">
        <v>73.849999999999994</v>
      </c>
      <c r="H1745" s="6"/>
    </row>
    <row r="1746" spans="1:8">
      <c r="A1746" s="5">
        <v>1654</v>
      </c>
      <c r="B1746" s="6" t="str">
        <f>"雷兰"</f>
        <v>雷兰</v>
      </c>
      <c r="C1746" s="6" t="str">
        <f t="shared" si="82"/>
        <v>女</v>
      </c>
      <c r="D1746" s="6" t="str">
        <f>"202123041115"</f>
        <v>202123041115</v>
      </c>
      <c r="E1746" s="10" t="s">
        <v>20</v>
      </c>
      <c r="F1746" s="6" t="s">
        <v>25</v>
      </c>
      <c r="G1746" s="8">
        <v>73.7</v>
      </c>
      <c r="H1746" s="6"/>
    </row>
    <row r="1747" spans="1:8">
      <c r="A1747" s="5">
        <v>1618</v>
      </c>
      <c r="B1747" s="6" t="str">
        <f>"岳奥林"</f>
        <v>岳奥林</v>
      </c>
      <c r="C1747" s="6" t="str">
        <f t="shared" si="82"/>
        <v>女</v>
      </c>
      <c r="D1747" s="6" t="str">
        <f>"202123041116"</f>
        <v>202123041116</v>
      </c>
      <c r="E1747" s="10" t="s">
        <v>20</v>
      </c>
      <c r="F1747" s="6" t="s">
        <v>25</v>
      </c>
      <c r="G1747" s="8">
        <v>80.3</v>
      </c>
      <c r="H1747" s="6"/>
    </row>
    <row r="1748" spans="1:8">
      <c r="A1748" s="5">
        <v>1564</v>
      </c>
      <c r="B1748" s="6" t="str">
        <f>"田晓芳"</f>
        <v>田晓芳</v>
      </c>
      <c r="C1748" s="6" t="str">
        <f t="shared" si="82"/>
        <v>女</v>
      </c>
      <c r="D1748" s="6" t="str">
        <f>"202123041117"</f>
        <v>202123041117</v>
      </c>
      <c r="E1748" s="10" t="s">
        <v>20</v>
      </c>
      <c r="F1748" s="6" t="s">
        <v>25</v>
      </c>
      <c r="G1748" s="8">
        <v>50.8</v>
      </c>
      <c r="H1748" s="6"/>
    </row>
    <row r="1749" spans="1:8">
      <c r="A1749" s="5">
        <v>1653</v>
      </c>
      <c r="B1749" s="6" t="str">
        <f>"王宝月"</f>
        <v>王宝月</v>
      </c>
      <c r="C1749" s="6" t="str">
        <f t="shared" si="82"/>
        <v>女</v>
      </c>
      <c r="D1749" s="6" t="str">
        <f>"202123041118"</f>
        <v>202123041118</v>
      </c>
      <c r="E1749" s="10" t="s">
        <v>20</v>
      </c>
      <c r="F1749" s="6" t="s">
        <v>25</v>
      </c>
      <c r="G1749" s="8">
        <v>62.4</v>
      </c>
      <c r="H1749" s="6"/>
    </row>
    <row r="1750" spans="1:8">
      <c r="A1750" s="5">
        <v>1585</v>
      </c>
      <c r="B1750" s="6" t="str">
        <f>"贺维唯"</f>
        <v>贺维唯</v>
      </c>
      <c r="C1750" s="6" t="str">
        <f t="shared" si="82"/>
        <v>女</v>
      </c>
      <c r="D1750" s="6" t="str">
        <f>"202123041119"</f>
        <v>202123041119</v>
      </c>
      <c r="E1750" s="10" t="s">
        <v>20</v>
      </c>
      <c r="F1750" s="6" t="s">
        <v>25</v>
      </c>
      <c r="G1750" s="8">
        <v>47.15</v>
      </c>
      <c r="H1750" s="6"/>
    </row>
    <row r="1751" spans="1:8">
      <c r="A1751" s="5">
        <v>1651</v>
      </c>
      <c r="B1751" s="6" t="str">
        <f>"罗石榴"</f>
        <v>罗石榴</v>
      </c>
      <c r="C1751" s="6" t="str">
        <f t="shared" si="82"/>
        <v>女</v>
      </c>
      <c r="D1751" s="6" t="str">
        <f>"202123041120"</f>
        <v>202123041120</v>
      </c>
      <c r="E1751" s="10" t="s">
        <v>20</v>
      </c>
      <c r="F1751" s="6" t="s">
        <v>25</v>
      </c>
      <c r="G1751" s="8">
        <v>71.400000000000006</v>
      </c>
      <c r="H1751" s="6"/>
    </row>
    <row r="1752" spans="1:8">
      <c r="A1752" s="5">
        <v>1582</v>
      </c>
      <c r="B1752" s="6" t="str">
        <f>"王明慧"</f>
        <v>王明慧</v>
      </c>
      <c r="C1752" s="6" t="str">
        <f t="shared" si="82"/>
        <v>女</v>
      </c>
      <c r="D1752" s="6" t="str">
        <f>"202123041121"</f>
        <v>202123041121</v>
      </c>
      <c r="E1752" s="10" t="s">
        <v>20</v>
      </c>
      <c r="F1752" s="6" t="s">
        <v>25</v>
      </c>
      <c r="G1752" s="8">
        <v>65.650000000000006</v>
      </c>
      <c r="H1752" s="6"/>
    </row>
    <row r="1753" spans="1:8">
      <c r="A1753" s="5">
        <v>1559</v>
      </c>
      <c r="B1753" s="6" t="str">
        <f>"曾睿瑶"</f>
        <v>曾睿瑶</v>
      </c>
      <c r="C1753" s="6" t="str">
        <f t="shared" si="82"/>
        <v>女</v>
      </c>
      <c r="D1753" s="6" t="str">
        <f>"202123041122"</f>
        <v>202123041122</v>
      </c>
      <c r="E1753" s="10" t="s">
        <v>20</v>
      </c>
      <c r="F1753" s="6" t="s">
        <v>25</v>
      </c>
      <c r="G1753" s="8">
        <v>61.7</v>
      </c>
      <c r="H1753" s="6"/>
    </row>
    <row r="1754" spans="1:8">
      <c r="A1754" s="5">
        <v>1611</v>
      </c>
      <c r="B1754" s="6" t="str">
        <f>"徐小芸"</f>
        <v>徐小芸</v>
      </c>
      <c r="C1754" s="6" t="str">
        <f t="shared" si="82"/>
        <v>女</v>
      </c>
      <c r="D1754" s="6" t="str">
        <f>"202123041123"</f>
        <v>202123041123</v>
      </c>
      <c r="E1754" s="10" t="s">
        <v>20</v>
      </c>
      <c r="F1754" s="6" t="s">
        <v>25</v>
      </c>
      <c r="G1754" s="8">
        <v>74.849999999999994</v>
      </c>
      <c r="H1754" s="6"/>
    </row>
    <row r="1755" spans="1:8">
      <c r="A1755" s="5">
        <v>1630</v>
      </c>
      <c r="B1755" s="6" t="str">
        <f>"陈鹏"</f>
        <v>陈鹏</v>
      </c>
      <c r="C1755" s="6" t="str">
        <f t="shared" si="82"/>
        <v>女</v>
      </c>
      <c r="D1755" s="6" t="str">
        <f>"202123041124"</f>
        <v>202123041124</v>
      </c>
      <c r="E1755" s="10" t="s">
        <v>20</v>
      </c>
      <c r="F1755" s="6" t="s">
        <v>25</v>
      </c>
      <c r="G1755" s="8">
        <v>73.75</v>
      </c>
      <c r="H1755" s="6"/>
    </row>
    <row r="1756" spans="1:8">
      <c r="A1756" s="5">
        <v>1631</v>
      </c>
      <c r="B1756" s="6" t="str">
        <f>"马小凤"</f>
        <v>马小凤</v>
      </c>
      <c r="C1756" s="6" t="str">
        <f t="shared" si="82"/>
        <v>女</v>
      </c>
      <c r="D1756" s="6" t="str">
        <f>"202123041125"</f>
        <v>202123041125</v>
      </c>
      <c r="E1756" s="10" t="s">
        <v>20</v>
      </c>
      <c r="F1756" s="6" t="s">
        <v>25</v>
      </c>
      <c r="G1756" s="8">
        <v>71.8</v>
      </c>
      <c r="H1756" s="6"/>
    </row>
    <row r="1757" spans="1:8">
      <c r="A1757" s="5">
        <v>1558</v>
      </c>
      <c r="B1757" s="6" t="str">
        <f>"陈芳"</f>
        <v>陈芳</v>
      </c>
      <c r="C1757" s="6" t="str">
        <f t="shared" si="82"/>
        <v>女</v>
      </c>
      <c r="D1757" s="6" t="str">
        <f>"202123041126"</f>
        <v>202123041126</v>
      </c>
      <c r="E1757" s="10" t="s">
        <v>20</v>
      </c>
      <c r="F1757" s="6" t="s">
        <v>25</v>
      </c>
      <c r="G1757" s="8">
        <v>0</v>
      </c>
      <c r="H1757" s="9">
        <v>1</v>
      </c>
    </row>
    <row r="1758" spans="1:8">
      <c r="A1758" s="5">
        <v>1580</v>
      </c>
      <c r="B1758" s="6" t="str">
        <f>"彭媛媛"</f>
        <v>彭媛媛</v>
      </c>
      <c r="C1758" s="6" t="str">
        <f t="shared" si="82"/>
        <v>女</v>
      </c>
      <c r="D1758" s="6" t="str">
        <f>"202123041127"</f>
        <v>202123041127</v>
      </c>
      <c r="E1758" s="10" t="s">
        <v>20</v>
      </c>
      <c r="F1758" s="6" t="s">
        <v>25</v>
      </c>
      <c r="G1758" s="8">
        <v>75.400000000000006</v>
      </c>
      <c r="H1758" s="6"/>
    </row>
    <row r="1759" spans="1:8">
      <c r="A1759" s="5">
        <v>1601</v>
      </c>
      <c r="B1759" s="6" t="str">
        <f>"唐玉霞"</f>
        <v>唐玉霞</v>
      </c>
      <c r="C1759" s="6" t="str">
        <f t="shared" si="82"/>
        <v>女</v>
      </c>
      <c r="D1759" s="6" t="str">
        <f>"202123041128"</f>
        <v>202123041128</v>
      </c>
      <c r="E1759" s="10" t="s">
        <v>20</v>
      </c>
      <c r="F1759" s="6" t="s">
        <v>25</v>
      </c>
      <c r="G1759" s="8">
        <v>0</v>
      </c>
      <c r="H1759" s="9">
        <v>1</v>
      </c>
    </row>
    <row r="1760" spans="1:8">
      <c r="A1760" s="5">
        <v>1617</v>
      </c>
      <c r="B1760" s="6" t="str">
        <f>"吴嘉敏"</f>
        <v>吴嘉敏</v>
      </c>
      <c r="C1760" s="6" t="str">
        <f t="shared" si="82"/>
        <v>女</v>
      </c>
      <c r="D1760" s="6" t="str">
        <f>"202123041129"</f>
        <v>202123041129</v>
      </c>
      <c r="E1760" s="10" t="s">
        <v>20</v>
      </c>
      <c r="F1760" s="6" t="s">
        <v>25</v>
      </c>
      <c r="G1760" s="8">
        <v>61.55</v>
      </c>
      <c r="H1760" s="6"/>
    </row>
    <row r="1761" spans="1:8">
      <c r="A1761" s="5">
        <v>1588</v>
      </c>
      <c r="B1761" s="6" t="str">
        <f>"王晶"</f>
        <v>王晶</v>
      </c>
      <c r="C1761" s="6" t="str">
        <f>"男"</f>
        <v>男</v>
      </c>
      <c r="D1761" s="6" t="str">
        <f>"202123041130"</f>
        <v>202123041130</v>
      </c>
      <c r="E1761" s="10" t="s">
        <v>20</v>
      </c>
      <c r="F1761" s="6" t="s">
        <v>25</v>
      </c>
      <c r="G1761" s="8">
        <v>62.25</v>
      </c>
      <c r="H1761" s="6"/>
    </row>
    <row r="1762" spans="1:8">
      <c r="A1762" s="5">
        <v>1633</v>
      </c>
      <c r="B1762" s="6" t="str">
        <f>"朱楚怡"</f>
        <v>朱楚怡</v>
      </c>
      <c r="C1762" s="6" t="str">
        <f t="shared" ref="C1762:C1769" si="83">"女"</f>
        <v>女</v>
      </c>
      <c r="D1762" s="6" t="str">
        <f>"202123041201"</f>
        <v>202123041201</v>
      </c>
      <c r="E1762" s="10" t="s">
        <v>20</v>
      </c>
      <c r="F1762" s="6" t="s">
        <v>25</v>
      </c>
      <c r="G1762" s="8">
        <v>63.2</v>
      </c>
      <c r="H1762" s="6"/>
    </row>
    <row r="1763" spans="1:8">
      <c r="A1763" s="5">
        <v>1621</v>
      </c>
      <c r="B1763" s="6" t="str">
        <f>"李艺然"</f>
        <v>李艺然</v>
      </c>
      <c r="C1763" s="6" t="str">
        <f t="shared" si="83"/>
        <v>女</v>
      </c>
      <c r="D1763" s="6" t="str">
        <f>"202123041202"</f>
        <v>202123041202</v>
      </c>
      <c r="E1763" s="10" t="s">
        <v>20</v>
      </c>
      <c r="F1763" s="6" t="s">
        <v>25</v>
      </c>
      <c r="G1763" s="8">
        <v>70.650000000000006</v>
      </c>
      <c r="H1763" s="6"/>
    </row>
    <row r="1764" spans="1:8">
      <c r="A1764" s="5">
        <v>1610</v>
      </c>
      <c r="B1764" s="6" t="str">
        <f>"杨慧"</f>
        <v>杨慧</v>
      </c>
      <c r="C1764" s="6" t="str">
        <f t="shared" si="83"/>
        <v>女</v>
      </c>
      <c r="D1764" s="6" t="str">
        <f>"202123041203"</f>
        <v>202123041203</v>
      </c>
      <c r="E1764" s="10" t="s">
        <v>20</v>
      </c>
      <c r="F1764" s="6" t="s">
        <v>25</v>
      </c>
      <c r="G1764" s="8">
        <v>72.400000000000006</v>
      </c>
      <c r="H1764" s="6"/>
    </row>
    <row r="1765" spans="1:8">
      <c r="A1765" s="5">
        <v>1645</v>
      </c>
      <c r="B1765" s="6" t="str">
        <f>"张洁"</f>
        <v>张洁</v>
      </c>
      <c r="C1765" s="6" t="str">
        <f t="shared" si="83"/>
        <v>女</v>
      </c>
      <c r="D1765" s="6" t="str">
        <f>"202123041204"</f>
        <v>202123041204</v>
      </c>
      <c r="E1765" s="10" t="s">
        <v>20</v>
      </c>
      <c r="F1765" s="6" t="s">
        <v>25</v>
      </c>
      <c r="G1765" s="8">
        <v>76.5</v>
      </c>
      <c r="H1765" s="6"/>
    </row>
    <row r="1766" spans="1:8">
      <c r="A1766" s="5">
        <v>1634</v>
      </c>
      <c r="B1766" s="6" t="str">
        <f>"汤国静"</f>
        <v>汤国静</v>
      </c>
      <c r="C1766" s="6" t="str">
        <f t="shared" si="83"/>
        <v>女</v>
      </c>
      <c r="D1766" s="6" t="str">
        <f>"202123041205"</f>
        <v>202123041205</v>
      </c>
      <c r="E1766" s="10" t="s">
        <v>20</v>
      </c>
      <c r="F1766" s="6" t="s">
        <v>25</v>
      </c>
      <c r="G1766" s="8">
        <v>80.95</v>
      </c>
      <c r="H1766" s="6"/>
    </row>
    <row r="1767" spans="1:8">
      <c r="A1767" s="5">
        <v>1584</v>
      </c>
      <c r="B1767" s="6" t="str">
        <f>"蓝雅芝"</f>
        <v>蓝雅芝</v>
      </c>
      <c r="C1767" s="6" t="str">
        <f t="shared" si="83"/>
        <v>女</v>
      </c>
      <c r="D1767" s="6" t="str">
        <f>"202123041206"</f>
        <v>202123041206</v>
      </c>
      <c r="E1767" s="10" t="s">
        <v>20</v>
      </c>
      <c r="F1767" s="6" t="s">
        <v>25</v>
      </c>
      <c r="G1767" s="8">
        <v>73.7</v>
      </c>
      <c r="H1767" s="6"/>
    </row>
    <row r="1768" spans="1:8">
      <c r="A1768" s="5">
        <v>1650</v>
      </c>
      <c r="B1768" s="6" t="str">
        <f>"唐晖"</f>
        <v>唐晖</v>
      </c>
      <c r="C1768" s="6" t="str">
        <f t="shared" si="83"/>
        <v>女</v>
      </c>
      <c r="D1768" s="6" t="str">
        <f>"202123041207"</f>
        <v>202123041207</v>
      </c>
      <c r="E1768" s="10" t="s">
        <v>20</v>
      </c>
      <c r="F1768" s="6" t="s">
        <v>25</v>
      </c>
      <c r="G1768" s="8">
        <v>68.599999999999994</v>
      </c>
      <c r="H1768" s="6"/>
    </row>
    <row r="1769" spans="1:8">
      <c r="A1769" s="5">
        <v>1638</v>
      </c>
      <c r="B1769" s="6" t="str">
        <f>"曹双玲"</f>
        <v>曹双玲</v>
      </c>
      <c r="C1769" s="6" t="str">
        <f t="shared" si="83"/>
        <v>女</v>
      </c>
      <c r="D1769" s="6" t="str">
        <f>"202123041208"</f>
        <v>202123041208</v>
      </c>
      <c r="E1769" s="10" t="s">
        <v>20</v>
      </c>
      <c r="F1769" s="6" t="s">
        <v>25</v>
      </c>
      <c r="G1769" s="8">
        <v>77.650000000000006</v>
      </c>
      <c r="H1769" s="6"/>
    </row>
    <row r="1770" spans="1:8">
      <c r="A1770" s="5">
        <v>1576</v>
      </c>
      <c r="B1770" s="6" t="str">
        <f>"蒋志斌"</f>
        <v>蒋志斌</v>
      </c>
      <c r="C1770" s="6" t="str">
        <f>"男"</f>
        <v>男</v>
      </c>
      <c r="D1770" s="6" t="str">
        <f>"202123041209"</f>
        <v>202123041209</v>
      </c>
      <c r="E1770" s="10" t="s">
        <v>20</v>
      </c>
      <c r="F1770" s="6" t="s">
        <v>25</v>
      </c>
      <c r="G1770" s="8">
        <v>73.8</v>
      </c>
      <c r="H1770" s="6"/>
    </row>
    <row r="1771" spans="1:8">
      <c r="A1771" s="5">
        <v>1623</v>
      </c>
      <c r="B1771" s="6" t="str">
        <f>"李梦妍"</f>
        <v>李梦妍</v>
      </c>
      <c r="C1771" s="6" t="str">
        <f>"女"</f>
        <v>女</v>
      </c>
      <c r="D1771" s="6" t="str">
        <f>"202123041210"</f>
        <v>202123041210</v>
      </c>
      <c r="E1771" s="10" t="s">
        <v>20</v>
      </c>
      <c r="F1771" s="6" t="s">
        <v>25</v>
      </c>
      <c r="G1771" s="8">
        <v>81</v>
      </c>
      <c r="H1771" s="6"/>
    </row>
    <row r="1772" spans="1:8">
      <c r="A1772" s="5">
        <v>1646</v>
      </c>
      <c r="B1772" s="6" t="str">
        <f>"王芙"</f>
        <v>王芙</v>
      </c>
      <c r="C1772" s="6" t="str">
        <f>"女"</f>
        <v>女</v>
      </c>
      <c r="D1772" s="6" t="str">
        <f>"202123041211"</f>
        <v>202123041211</v>
      </c>
      <c r="E1772" s="10" t="s">
        <v>20</v>
      </c>
      <c r="F1772" s="6" t="s">
        <v>25</v>
      </c>
      <c r="G1772" s="8">
        <v>75.349999999999994</v>
      </c>
      <c r="H1772" s="6"/>
    </row>
    <row r="1773" spans="1:8">
      <c r="A1773" s="5">
        <v>1595</v>
      </c>
      <c r="B1773" s="6" t="str">
        <f>"黄力波"</f>
        <v>黄力波</v>
      </c>
      <c r="C1773" s="6" t="str">
        <f>"男"</f>
        <v>男</v>
      </c>
      <c r="D1773" s="6" t="str">
        <f>"202123041212"</f>
        <v>202123041212</v>
      </c>
      <c r="E1773" s="10" t="s">
        <v>20</v>
      </c>
      <c r="F1773" s="6" t="s">
        <v>25</v>
      </c>
      <c r="G1773" s="8">
        <v>65.650000000000006</v>
      </c>
      <c r="H1773" s="6"/>
    </row>
    <row r="1774" spans="1:8">
      <c r="A1774" s="5">
        <v>1625</v>
      </c>
      <c r="B1774" s="6" t="str">
        <f>"喻霖宏"</f>
        <v>喻霖宏</v>
      </c>
      <c r="C1774" s="6" t="str">
        <f>"男"</f>
        <v>男</v>
      </c>
      <c r="D1774" s="6" t="str">
        <f>"202123041213"</f>
        <v>202123041213</v>
      </c>
      <c r="E1774" s="10" t="s">
        <v>20</v>
      </c>
      <c r="F1774" s="6" t="s">
        <v>25</v>
      </c>
      <c r="G1774" s="8">
        <v>63.25</v>
      </c>
      <c r="H1774" s="6"/>
    </row>
    <row r="1775" spans="1:8">
      <c r="A1775" s="5">
        <v>1560</v>
      </c>
      <c r="B1775" s="6" t="str">
        <f>"钟慧慧"</f>
        <v>钟慧慧</v>
      </c>
      <c r="C1775" s="6" t="str">
        <f t="shared" ref="C1775:C1787" si="84">"女"</f>
        <v>女</v>
      </c>
      <c r="D1775" s="6" t="str">
        <f>"202123041214"</f>
        <v>202123041214</v>
      </c>
      <c r="E1775" s="10" t="s">
        <v>20</v>
      </c>
      <c r="F1775" s="6" t="s">
        <v>25</v>
      </c>
      <c r="G1775" s="8">
        <v>46.25</v>
      </c>
      <c r="H1775" s="6"/>
    </row>
    <row r="1776" spans="1:8">
      <c r="A1776" s="5">
        <v>1562</v>
      </c>
      <c r="B1776" s="6" t="str">
        <f>"邓宇娇"</f>
        <v>邓宇娇</v>
      </c>
      <c r="C1776" s="6" t="str">
        <f t="shared" si="84"/>
        <v>女</v>
      </c>
      <c r="D1776" s="6" t="str">
        <f>"202123041215"</f>
        <v>202123041215</v>
      </c>
      <c r="E1776" s="10" t="s">
        <v>20</v>
      </c>
      <c r="F1776" s="6" t="s">
        <v>25</v>
      </c>
      <c r="G1776" s="8">
        <v>0</v>
      </c>
      <c r="H1776" s="6"/>
    </row>
    <row r="1777" spans="1:8">
      <c r="A1777" s="5">
        <v>1608</v>
      </c>
      <c r="B1777" s="6" t="str">
        <f>"郭小飞"</f>
        <v>郭小飞</v>
      </c>
      <c r="C1777" s="6" t="str">
        <f t="shared" si="84"/>
        <v>女</v>
      </c>
      <c r="D1777" s="6" t="str">
        <f>"202123041216"</f>
        <v>202123041216</v>
      </c>
      <c r="E1777" s="10" t="s">
        <v>20</v>
      </c>
      <c r="F1777" s="6" t="s">
        <v>25</v>
      </c>
      <c r="G1777" s="8">
        <v>35</v>
      </c>
      <c r="H1777" s="6"/>
    </row>
    <row r="1778" spans="1:8">
      <c r="A1778" s="5">
        <v>1607</v>
      </c>
      <c r="B1778" s="6" t="str">
        <f>"何凤"</f>
        <v>何凤</v>
      </c>
      <c r="C1778" s="6" t="str">
        <f t="shared" si="84"/>
        <v>女</v>
      </c>
      <c r="D1778" s="6" t="str">
        <f>"202123041217"</f>
        <v>202123041217</v>
      </c>
      <c r="E1778" s="10" t="s">
        <v>20</v>
      </c>
      <c r="F1778" s="6" t="s">
        <v>25</v>
      </c>
      <c r="G1778" s="8">
        <v>78.900000000000006</v>
      </c>
      <c r="H1778" s="6"/>
    </row>
    <row r="1779" spans="1:8">
      <c r="A1779" s="5">
        <v>1591</v>
      </c>
      <c r="B1779" s="6" t="str">
        <f>"谭晶"</f>
        <v>谭晶</v>
      </c>
      <c r="C1779" s="6" t="str">
        <f t="shared" si="84"/>
        <v>女</v>
      </c>
      <c r="D1779" s="6" t="str">
        <f>"202123041218"</f>
        <v>202123041218</v>
      </c>
      <c r="E1779" s="10" t="s">
        <v>20</v>
      </c>
      <c r="F1779" s="6" t="s">
        <v>25</v>
      </c>
      <c r="G1779" s="8">
        <v>78.45</v>
      </c>
      <c r="H1779" s="6"/>
    </row>
    <row r="1780" spans="1:8">
      <c r="A1780" s="5">
        <v>1612</v>
      </c>
      <c r="B1780" s="6" t="str">
        <f>"曾群燕"</f>
        <v>曾群燕</v>
      </c>
      <c r="C1780" s="6" t="str">
        <f t="shared" si="84"/>
        <v>女</v>
      </c>
      <c r="D1780" s="6" t="str">
        <f>"202123041219"</f>
        <v>202123041219</v>
      </c>
      <c r="E1780" s="10" t="s">
        <v>20</v>
      </c>
      <c r="F1780" s="6" t="s">
        <v>25</v>
      </c>
      <c r="G1780" s="8">
        <v>0</v>
      </c>
      <c r="H1780" s="6"/>
    </row>
    <row r="1781" spans="1:8">
      <c r="A1781" s="5">
        <v>1626</v>
      </c>
      <c r="B1781" s="6" t="str">
        <f>"刘娜梅"</f>
        <v>刘娜梅</v>
      </c>
      <c r="C1781" s="6" t="str">
        <f t="shared" si="84"/>
        <v>女</v>
      </c>
      <c r="D1781" s="6" t="str">
        <f>"202123041220"</f>
        <v>202123041220</v>
      </c>
      <c r="E1781" s="10" t="s">
        <v>20</v>
      </c>
      <c r="F1781" s="6" t="s">
        <v>25</v>
      </c>
      <c r="G1781" s="8">
        <v>75.349999999999994</v>
      </c>
      <c r="H1781" s="6"/>
    </row>
    <row r="1782" spans="1:8">
      <c r="A1782" s="5">
        <v>1592</v>
      </c>
      <c r="B1782" s="6" t="str">
        <f>"石晶"</f>
        <v>石晶</v>
      </c>
      <c r="C1782" s="6" t="str">
        <f t="shared" si="84"/>
        <v>女</v>
      </c>
      <c r="D1782" s="6" t="str">
        <f>"202123041221"</f>
        <v>202123041221</v>
      </c>
      <c r="E1782" s="10" t="s">
        <v>20</v>
      </c>
      <c r="F1782" s="6" t="s">
        <v>25</v>
      </c>
      <c r="G1782" s="8">
        <v>75.25</v>
      </c>
      <c r="H1782" s="6"/>
    </row>
    <row r="1783" spans="1:8">
      <c r="A1783" s="5">
        <v>1652</v>
      </c>
      <c r="B1783" s="6" t="str">
        <f>"胡珺"</f>
        <v>胡珺</v>
      </c>
      <c r="C1783" s="6" t="str">
        <f t="shared" si="84"/>
        <v>女</v>
      </c>
      <c r="D1783" s="6" t="str">
        <f>"202123041222"</f>
        <v>202123041222</v>
      </c>
      <c r="E1783" s="10" t="s">
        <v>20</v>
      </c>
      <c r="F1783" s="6" t="s">
        <v>25</v>
      </c>
      <c r="G1783" s="8">
        <v>70.849999999999994</v>
      </c>
      <c r="H1783" s="6"/>
    </row>
    <row r="1784" spans="1:8">
      <c r="A1784" s="5">
        <v>1589</v>
      </c>
      <c r="B1784" s="6" t="str">
        <f>"邓倩"</f>
        <v>邓倩</v>
      </c>
      <c r="C1784" s="6" t="str">
        <f t="shared" si="84"/>
        <v>女</v>
      </c>
      <c r="D1784" s="6" t="str">
        <f>"202123041223"</f>
        <v>202123041223</v>
      </c>
      <c r="E1784" s="10" t="s">
        <v>20</v>
      </c>
      <c r="F1784" s="6" t="s">
        <v>25</v>
      </c>
      <c r="G1784" s="8">
        <v>66.25</v>
      </c>
      <c r="H1784" s="6"/>
    </row>
    <row r="1785" spans="1:8">
      <c r="A1785" s="5">
        <v>1575</v>
      </c>
      <c r="B1785" s="6" t="str">
        <f>"罗雅馨"</f>
        <v>罗雅馨</v>
      </c>
      <c r="C1785" s="6" t="str">
        <f t="shared" si="84"/>
        <v>女</v>
      </c>
      <c r="D1785" s="6" t="str">
        <f>"202123041224"</f>
        <v>202123041224</v>
      </c>
      <c r="E1785" s="10" t="s">
        <v>20</v>
      </c>
      <c r="F1785" s="6" t="s">
        <v>25</v>
      </c>
      <c r="G1785" s="8">
        <v>78.45</v>
      </c>
      <c r="H1785" s="6"/>
    </row>
    <row r="1786" spans="1:8">
      <c r="A1786" s="5">
        <v>1627</v>
      </c>
      <c r="B1786" s="6" t="str">
        <f>"刘晶晶"</f>
        <v>刘晶晶</v>
      </c>
      <c r="C1786" s="6" t="str">
        <f t="shared" si="84"/>
        <v>女</v>
      </c>
      <c r="D1786" s="6" t="str">
        <f>"202123041225"</f>
        <v>202123041225</v>
      </c>
      <c r="E1786" s="10" t="s">
        <v>20</v>
      </c>
      <c r="F1786" s="6" t="s">
        <v>25</v>
      </c>
      <c r="G1786" s="8">
        <v>64.75</v>
      </c>
      <c r="H1786" s="6"/>
    </row>
    <row r="1787" spans="1:8">
      <c r="A1787" s="5">
        <v>1572</v>
      </c>
      <c r="B1787" s="6" t="str">
        <f>"莫攀"</f>
        <v>莫攀</v>
      </c>
      <c r="C1787" s="6" t="str">
        <f t="shared" si="84"/>
        <v>女</v>
      </c>
      <c r="D1787" s="6" t="str">
        <f>"202123041226"</f>
        <v>202123041226</v>
      </c>
      <c r="E1787" s="10" t="s">
        <v>20</v>
      </c>
      <c r="F1787" s="6" t="s">
        <v>25</v>
      </c>
      <c r="G1787" s="8">
        <v>59.85</v>
      </c>
      <c r="H1787" s="6"/>
    </row>
    <row r="1788" spans="1:8">
      <c r="A1788" s="5">
        <v>1605</v>
      </c>
      <c r="B1788" s="6" t="str">
        <f>"滕文"</f>
        <v>滕文</v>
      </c>
      <c r="C1788" s="6" t="str">
        <f>"男"</f>
        <v>男</v>
      </c>
      <c r="D1788" s="6" t="str">
        <f>"202123041227"</f>
        <v>202123041227</v>
      </c>
      <c r="E1788" s="10" t="s">
        <v>20</v>
      </c>
      <c r="F1788" s="6" t="s">
        <v>25</v>
      </c>
      <c r="G1788" s="8">
        <v>78.349999999999994</v>
      </c>
      <c r="H1788" s="6"/>
    </row>
    <row r="1789" spans="1:8">
      <c r="A1789" s="5">
        <v>1639</v>
      </c>
      <c r="B1789" s="6" t="str">
        <f>"胡美艳"</f>
        <v>胡美艳</v>
      </c>
      <c r="C1789" s="6" t="str">
        <f t="shared" ref="C1789:C1802" si="85">"女"</f>
        <v>女</v>
      </c>
      <c r="D1789" s="6" t="str">
        <f>"202123041228"</f>
        <v>202123041228</v>
      </c>
      <c r="E1789" s="10" t="s">
        <v>20</v>
      </c>
      <c r="F1789" s="6" t="s">
        <v>25</v>
      </c>
      <c r="G1789" s="8">
        <v>58.8</v>
      </c>
      <c r="H1789" s="6"/>
    </row>
    <row r="1790" spans="1:8">
      <c r="A1790" s="5">
        <v>1628</v>
      </c>
      <c r="B1790" s="6" t="str">
        <f>"陈星池"</f>
        <v>陈星池</v>
      </c>
      <c r="C1790" s="6" t="str">
        <f t="shared" si="85"/>
        <v>女</v>
      </c>
      <c r="D1790" s="6" t="str">
        <f>"202123041229"</f>
        <v>202123041229</v>
      </c>
      <c r="E1790" s="10" t="s">
        <v>20</v>
      </c>
      <c r="F1790" s="6" t="s">
        <v>25</v>
      </c>
      <c r="G1790" s="8">
        <v>55.6</v>
      </c>
      <c r="H1790" s="6"/>
    </row>
    <row r="1791" spans="1:8">
      <c r="A1791" s="5">
        <v>1578</v>
      </c>
      <c r="B1791" s="6" t="str">
        <f>"王瓊曼"</f>
        <v>王瓊曼</v>
      </c>
      <c r="C1791" s="6" t="str">
        <f t="shared" si="85"/>
        <v>女</v>
      </c>
      <c r="D1791" s="6" t="str">
        <f>"202123041230"</f>
        <v>202123041230</v>
      </c>
      <c r="E1791" s="10" t="s">
        <v>20</v>
      </c>
      <c r="F1791" s="6" t="s">
        <v>25</v>
      </c>
      <c r="G1791" s="8">
        <v>0</v>
      </c>
      <c r="H1791" s="6"/>
    </row>
    <row r="1792" spans="1:8">
      <c r="A1792" s="5">
        <v>1581</v>
      </c>
      <c r="B1792" s="6" t="str">
        <f>"黄露"</f>
        <v>黄露</v>
      </c>
      <c r="C1792" s="6" t="str">
        <f t="shared" si="85"/>
        <v>女</v>
      </c>
      <c r="D1792" s="6" t="str">
        <f>"202123041301"</f>
        <v>202123041301</v>
      </c>
      <c r="E1792" s="10" t="s">
        <v>20</v>
      </c>
      <c r="F1792" s="6" t="s">
        <v>25</v>
      </c>
      <c r="G1792" s="8">
        <v>63.65</v>
      </c>
      <c r="H1792" s="6"/>
    </row>
    <row r="1793" spans="1:8">
      <c r="A1793" s="5">
        <v>1619</v>
      </c>
      <c r="B1793" s="6" t="str">
        <f>"杨静"</f>
        <v>杨静</v>
      </c>
      <c r="C1793" s="6" t="str">
        <f t="shared" si="85"/>
        <v>女</v>
      </c>
      <c r="D1793" s="6" t="str">
        <f>"202123041302"</f>
        <v>202123041302</v>
      </c>
      <c r="E1793" s="10" t="s">
        <v>20</v>
      </c>
      <c r="F1793" s="6" t="s">
        <v>25</v>
      </c>
      <c r="G1793" s="8">
        <v>49.7</v>
      </c>
      <c r="H1793" s="6"/>
    </row>
    <row r="1794" spans="1:8">
      <c r="A1794" s="5">
        <v>1641</v>
      </c>
      <c r="B1794" s="6" t="str">
        <f>"曾宇琼"</f>
        <v>曾宇琼</v>
      </c>
      <c r="C1794" s="6" t="str">
        <f t="shared" si="85"/>
        <v>女</v>
      </c>
      <c r="D1794" s="6" t="str">
        <f>"202123041303"</f>
        <v>202123041303</v>
      </c>
      <c r="E1794" s="10" t="s">
        <v>20</v>
      </c>
      <c r="F1794" s="6" t="s">
        <v>25</v>
      </c>
      <c r="G1794" s="8">
        <v>75.8</v>
      </c>
      <c r="H1794" s="6"/>
    </row>
    <row r="1795" spans="1:8">
      <c r="A1795" s="5">
        <v>1600</v>
      </c>
      <c r="B1795" s="6" t="str">
        <f>"汤慧"</f>
        <v>汤慧</v>
      </c>
      <c r="C1795" s="6" t="str">
        <f t="shared" si="85"/>
        <v>女</v>
      </c>
      <c r="D1795" s="6" t="str">
        <f>"202123041304"</f>
        <v>202123041304</v>
      </c>
      <c r="E1795" s="10" t="s">
        <v>20</v>
      </c>
      <c r="F1795" s="6" t="s">
        <v>25</v>
      </c>
      <c r="G1795" s="8">
        <v>67.95</v>
      </c>
      <c r="H1795" s="6"/>
    </row>
    <row r="1796" spans="1:8">
      <c r="A1796" s="5">
        <v>1642</v>
      </c>
      <c r="B1796" s="6" t="str">
        <f>"马欢"</f>
        <v>马欢</v>
      </c>
      <c r="C1796" s="6" t="str">
        <f t="shared" si="85"/>
        <v>女</v>
      </c>
      <c r="D1796" s="6" t="str">
        <f>"202123041305"</f>
        <v>202123041305</v>
      </c>
      <c r="E1796" s="10" t="s">
        <v>20</v>
      </c>
      <c r="F1796" s="6" t="s">
        <v>25</v>
      </c>
      <c r="G1796" s="8">
        <v>56.35</v>
      </c>
      <c r="H1796" s="6"/>
    </row>
    <row r="1797" spans="1:8">
      <c r="A1797" s="5">
        <v>1583</v>
      </c>
      <c r="B1797" s="6" t="str">
        <f>"卢春玲"</f>
        <v>卢春玲</v>
      </c>
      <c r="C1797" s="6" t="str">
        <f t="shared" si="85"/>
        <v>女</v>
      </c>
      <c r="D1797" s="6" t="str">
        <f>"202123041306"</f>
        <v>202123041306</v>
      </c>
      <c r="E1797" s="10" t="s">
        <v>20</v>
      </c>
      <c r="F1797" s="6" t="s">
        <v>25</v>
      </c>
      <c r="G1797" s="8">
        <v>70.45</v>
      </c>
      <c r="H1797" s="6"/>
    </row>
    <row r="1798" spans="1:8">
      <c r="A1798" s="5">
        <v>1577</v>
      </c>
      <c r="B1798" s="6" t="str">
        <f>"阳姣霞"</f>
        <v>阳姣霞</v>
      </c>
      <c r="C1798" s="6" t="str">
        <f t="shared" si="85"/>
        <v>女</v>
      </c>
      <c r="D1798" s="6" t="str">
        <f>"202123041307"</f>
        <v>202123041307</v>
      </c>
      <c r="E1798" s="10" t="s">
        <v>20</v>
      </c>
      <c r="F1798" s="6" t="s">
        <v>25</v>
      </c>
      <c r="G1798" s="8">
        <v>73.2</v>
      </c>
      <c r="H1798" s="6"/>
    </row>
    <row r="1799" spans="1:8">
      <c r="A1799" s="5">
        <v>1647</v>
      </c>
      <c r="B1799" s="6" t="str">
        <f>"何娅妮"</f>
        <v>何娅妮</v>
      </c>
      <c r="C1799" s="6" t="str">
        <f t="shared" si="85"/>
        <v>女</v>
      </c>
      <c r="D1799" s="6" t="str">
        <f>"202123041308"</f>
        <v>202123041308</v>
      </c>
      <c r="E1799" s="10" t="s">
        <v>20</v>
      </c>
      <c r="F1799" s="6" t="s">
        <v>25</v>
      </c>
      <c r="G1799" s="8">
        <v>61.05</v>
      </c>
      <c r="H1799" s="6"/>
    </row>
    <row r="1800" spans="1:8">
      <c r="A1800" s="5">
        <v>1648</v>
      </c>
      <c r="B1800" s="6" t="str">
        <f>"龙梅琴"</f>
        <v>龙梅琴</v>
      </c>
      <c r="C1800" s="6" t="str">
        <f t="shared" si="85"/>
        <v>女</v>
      </c>
      <c r="D1800" s="6" t="str">
        <f>"202123041309"</f>
        <v>202123041309</v>
      </c>
      <c r="E1800" s="10" t="s">
        <v>20</v>
      </c>
      <c r="F1800" s="6" t="s">
        <v>25</v>
      </c>
      <c r="G1800" s="8">
        <v>44.4</v>
      </c>
      <c r="H1800" s="6"/>
    </row>
    <row r="1801" spans="1:8">
      <c r="A1801" s="5">
        <v>1561</v>
      </c>
      <c r="B1801" s="6" t="str">
        <f>"孙晶晶"</f>
        <v>孙晶晶</v>
      </c>
      <c r="C1801" s="6" t="str">
        <f t="shared" si="85"/>
        <v>女</v>
      </c>
      <c r="D1801" s="6" t="str">
        <f>"202123041310"</f>
        <v>202123041310</v>
      </c>
      <c r="E1801" s="10" t="s">
        <v>20</v>
      </c>
      <c r="F1801" s="6" t="s">
        <v>25</v>
      </c>
      <c r="G1801" s="8">
        <v>46.15</v>
      </c>
      <c r="H1801" s="6"/>
    </row>
    <row r="1802" spans="1:8">
      <c r="A1802" s="5">
        <v>1602</v>
      </c>
      <c r="B1802" s="6" t="str">
        <f>"胡艳"</f>
        <v>胡艳</v>
      </c>
      <c r="C1802" s="6" t="str">
        <f t="shared" si="85"/>
        <v>女</v>
      </c>
      <c r="D1802" s="6" t="str">
        <f>"202123041311"</f>
        <v>202123041311</v>
      </c>
      <c r="E1802" s="10" t="s">
        <v>20</v>
      </c>
      <c r="F1802" s="6" t="s">
        <v>25</v>
      </c>
      <c r="G1802" s="8">
        <v>75.05</v>
      </c>
      <c r="H1802" s="6"/>
    </row>
    <row r="1803" spans="1:8">
      <c r="A1803" s="5">
        <v>1609</v>
      </c>
      <c r="B1803" s="6" t="str">
        <f>"吴亚隆"</f>
        <v>吴亚隆</v>
      </c>
      <c r="C1803" s="6" t="str">
        <f>"男"</f>
        <v>男</v>
      </c>
      <c r="D1803" s="6" t="str">
        <f>"202123041312"</f>
        <v>202123041312</v>
      </c>
      <c r="E1803" s="10" t="s">
        <v>20</v>
      </c>
      <c r="F1803" s="6" t="s">
        <v>25</v>
      </c>
      <c r="G1803" s="8">
        <v>53.35</v>
      </c>
      <c r="H1803" s="6"/>
    </row>
    <row r="1804" spans="1:8">
      <c r="A1804" s="5">
        <v>1616</v>
      </c>
      <c r="B1804" s="6" t="str">
        <f>"肖娟萍"</f>
        <v>肖娟萍</v>
      </c>
      <c r="C1804" s="6" t="str">
        <f>"女"</f>
        <v>女</v>
      </c>
      <c r="D1804" s="6" t="str">
        <f>"202123041313"</f>
        <v>202123041313</v>
      </c>
      <c r="E1804" s="10" t="s">
        <v>20</v>
      </c>
      <c r="F1804" s="6" t="s">
        <v>25</v>
      </c>
      <c r="G1804" s="8">
        <v>75.150000000000006</v>
      </c>
      <c r="H1804" s="6"/>
    </row>
    <row r="1805" spans="1:8">
      <c r="A1805" s="5">
        <v>1629</v>
      </c>
      <c r="B1805" s="6" t="str">
        <f>"苏岚风"</f>
        <v>苏岚风</v>
      </c>
      <c r="C1805" s="6" t="str">
        <f>"女"</f>
        <v>女</v>
      </c>
      <c r="D1805" s="6" t="str">
        <f>"202123041314"</f>
        <v>202123041314</v>
      </c>
      <c r="E1805" s="10" t="s">
        <v>20</v>
      </c>
      <c r="F1805" s="6" t="s">
        <v>25</v>
      </c>
      <c r="G1805" s="8">
        <v>54.5</v>
      </c>
      <c r="H1805" s="6"/>
    </row>
    <row r="1806" spans="1:8">
      <c r="A1806" s="5">
        <v>1620</v>
      </c>
      <c r="B1806" s="6" t="str">
        <f>"张丹"</f>
        <v>张丹</v>
      </c>
      <c r="C1806" s="6" t="str">
        <f>"女"</f>
        <v>女</v>
      </c>
      <c r="D1806" s="6" t="str">
        <f>"202123041315"</f>
        <v>202123041315</v>
      </c>
      <c r="E1806" s="10" t="s">
        <v>20</v>
      </c>
      <c r="F1806" s="6" t="s">
        <v>25</v>
      </c>
      <c r="G1806" s="8">
        <v>0</v>
      </c>
      <c r="H1806" s="9">
        <v>1</v>
      </c>
    </row>
    <row r="1807" spans="1:8">
      <c r="A1807" s="5">
        <v>1598</v>
      </c>
      <c r="B1807" s="6" t="str">
        <f>"肖扬"</f>
        <v>肖扬</v>
      </c>
      <c r="C1807" s="6" t="str">
        <f>"男"</f>
        <v>男</v>
      </c>
      <c r="D1807" s="6" t="str">
        <f>"202123041316"</f>
        <v>202123041316</v>
      </c>
      <c r="E1807" s="10" t="s">
        <v>20</v>
      </c>
      <c r="F1807" s="6" t="s">
        <v>25</v>
      </c>
      <c r="G1807" s="8">
        <v>66.25</v>
      </c>
      <c r="H1807" s="6"/>
    </row>
    <row r="1808" spans="1:8">
      <c r="A1808" s="5">
        <v>1613</v>
      </c>
      <c r="B1808" s="6" t="str">
        <f>"屈霜柔"</f>
        <v>屈霜柔</v>
      </c>
      <c r="C1808" s="6" t="str">
        <f>"女"</f>
        <v>女</v>
      </c>
      <c r="D1808" s="6" t="str">
        <f>"202123041317"</f>
        <v>202123041317</v>
      </c>
      <c r="E1808" s="10" t="s">
        <v>20</v>
      </c>
      <c r="F1808" s="6" t="s">
        <v>25</v>
      </c>
      <c r="G1808" s="8">
        <v>79.25</v>
      </c>
      <c r="H1808" s="6"/>
    </row>
    <row r="1809" spans="1:8">
      <c r="A1809" s="5">
        <v>1643</v>
      </c>
      <c r="B1809" s="6" t="str">
        <f>"彭思敏"</f>
        <v>彭思敏</v>
      </c>
      <c r="C1809" s="6" t="str">
        <f>"女"</f>
        <v>女</v>
      </c>
      <c r="D1809" s="6" t="str">
        <f>"202123041318"</f>
        <v>202123041318</v>
      </c>
      <c r="E1809" s="10" t="s">
        <v>20</v>
      </c>
      <c r="F1809" s="6" t="s">
        <v>25</v>
      </c>
      <c r="G1809" s="8">
        <v>61.25</v>
      </c>
      <c r="H1809" s="6"/>
    </row>
    <row r="1810" spans="1:8">
      <c r="A1810" s="5">
        <v>1644</v>
      </c>
      <c r="B1810" s="6" t="str">
        <f>"卿艳萍"</f>
        <v>卿艳萍</v>
      </c>
      <c r="C1810" s="6" t="str">
        <f>"女"</f>
        <v>女</v>
      </c>
      <c r="D1810" s="6" t="str">
        <f>"202123041319"</f>
        <v>202123041319</v>
      </c>
      <c r="E1810" s="10" t="s">
        <v>20</v>
      </c>
      <c r="F1810" s="6" t="s">
        <v>25</v>
      </c>
      <c r="G1810" s="8">
        <v>73.099999999999994</v>
      </c>
      <c r="H1810" s="6"/>
    </row>
    <row r="1811" spans="1:8">
      <c r="A1811" s="5">
        <v>1649</v>
      </c>
      <c r="B1811" s="6" t="str">
        <f>"陈叶"</f>
        <v>陈叶</v>
      </c>
      <c r="C1811" s="6" t="str">
        <f>"女"</f>
        <v>女</v>
      </c>
      <c r="D1811" s="6" t="str">
        <f>"202123041320"</f>
        <v>202123041320</v>
      </c>
      <c r="E1811" s="10" t="s">
        <v>20</v>
      </c>
      <c r="F1811" s="6" t="s">
        <v>25</v>
      </c>
      <c r="G1811" s="8">
        <v>57.65</v>
      </c>
      <c r="H1811" s="6"/>
    </row>
    <row r="1812" spans="1:8">
      <c r="A1812" s="5">
        <v>1655</v>
      </c>
      <c r="B1812" s="6" t="str">
        <f>"朱习习"</f>
        <v>朱习习</v>
      </c>
      <c r="C1812" s="6" t="str">
        <f>"女"</f>
        <v>女</v>
      </c>
      <c r="D1812" s="6" t="str">
        <f>"202123041321"</f>
        <v>202123041321</v>
      </c>
      <c r="E1812" s="10" t="s">
        <v>20</v>
      </c>
      <c r="F1812" s="6" t="s">
        <v>25</v>
      </c>
      <c r="G1812" s="8">
        <v>81.8</v>
      </c>
      <c r="H1812" s="6"/>
    </row>
    <row r="1813" spans="1:8">
      <c r="A1813" s="5">
        <v>1586</v>
      </c>
      <c r="B1813" s="6" t="str">
        <f>"付宝凤"</f>
        <v>付宝凤</v>
      </c>
      <c r="C1813" s="6" t="str">
        <f>"男"</f>
        <v>男</v>
      </c>
      <c r="D1813" s="6" t="str">
        <f>"202123041322"</f>
        <v>202123041322</v>
      </c>
      <c r="E1813" s="10" t="s">
        <v>20</v>
      </c>
      <c r="F1813" s="6" t="s">
        <v>25</v>
      </c>
      <c r="G1813" s="8">
        <v>73.2</v>
      </c>
      <c r="H1813" s="6"/>
    </row>
    <row r="1814" spans="1:8">
      <c r="A1814" s="5">
        <v>1587</v>
      </c>
      <c r="B1814" s="6" t="str">
        <f>"何丽容"</f>
        <v>何丽容</v>
      </c>
      <c r="C1814" s="6" t="str">
        <f>"女"</f>
        <v>女</v>
      </c>
      <c r="D1814" s="6" t="str">
        <f>"202123041323"</f>
        <v>202123041323</v>
      </c>
      <c r="E1814" s="10" t="s">
        <v>20</v>
      </c>
      <c r="F1814" s="6" t="s">
        <v>25</v>
      </c>
      <c r="G1814" s="8">
        <v>62.05</v>
      </c>
      <c r="H1814" s="6"/>
    </row>
    <row r="1815" spans="1:8">
      <c r="A1815" s="5">
        <v>1593</v>
      </c>
      <c r="B1815" s="6" t="str">
        <f>"薛涵"</f>
        <v>薛涵</v>
      </c>
      <c r="C1815" s="6" t="str">
        <f>"女"</f>
        <v>女</v>
      </c>
      <c r="D1815" s="6" t="str">
        <f>"202123041324"</f>
        <v>202123041324</v>
      </c>
      <c r="E1815" s="10" t="s">
        <v>20</v>
      </c>
      <c r="F1815" s="6" t="s">
        <v>25</v>
      </c>
      <c r="G1815" s="8">
        <v>80.599999999999994</v>
      </c>
      <c r="H1815" s="6"/>
    </row>
    <row r="1816" spans="1:8">
      <c r="A1816" s="5">
        <v>1597</v>
      </c>
      <c r="B1816" s="6" t="str">
        <f>"周曦"</f>
        <v>周曦</v>
      </c>
      <c r="C1816" s="6" t="str">
        <f>"女"</f>
        <v>女</v>
      </c>
      <c r="D1816" s="6" t="str">
        <f>"202123041325"</f>
        <v>202123041325</v>
      </c>
      <c r="E1816" s="10" t="s">
        <v>20</v>
      </c>
      <c r="F1816" s="6" t="s">
        <v>25</v>
      </c>
      <c r="G1816" s="8">
        <v>71.349999999999994</v>
      </c>
      <c r="H1816" s="6"/>
    </row>
    <row r="1817" spans="1:8">
      <c r="A1817" s="5">
        <v>1636</v>
      </c>
      <c r="B1817" s="6" t="str">
        <f>"李柳依"</f>
        <v>李柳依</v>
      </c>
      <c r="C1817" s="6" t="str">
        <f>"女"</f>
        <v>女</v>
      </c>
      <c r="D1817" s="6" t="str">
        <f>"202123041326"</f>
        <v>202123041326</v>
      </c>
      <c r="E1817" s="10" t="s">
        <v>20</v>
      </c>
      <c r="F1817" s="6" t="s">
        <v>25</v>
      </c>
      <c r="G1817" s="8">
        <v>52.25</v>
      </c>
      <c r="H1817" s="6"/>
    </row>
    <row r="1818" spans="1:8">
      <c r="A1818" s="5">
        <v>1635</v>
      </c>
      <c r="B1818" s="6" t="str">
        <f>"阙忭春"</f>
        <v>阙忭春</v>
      </c>
      <c r="C1818" s="6" t="str">
        <f>"女"</f>
        <v>女</v>
      </c>
      <c r="D1818" s="6" t="str">
        <f>"202123041327"</f>
        <v>202123041327</v>
      </c>
      <c r="E1818" s="10" t="s">
        <v>20</v>
      </c>
      <c r="F1818" s="6" t="s">
        <v>25</v>
      </c>
      <c r="G1818" s="8">
        <v>74.8</v>
      </c>
      <c r="H1818" s="6"/>
    </row>
    <row r="1819" spans="1:8">
      <c r="A1819" s="5">
        <v>1569</v>
      </c>
      <c r="B1819" s="6" t="str">
        <f>"肖楠轩"</f>
        <v>肖楠轩</v>
      </c>
      <c r="C1819" s="6" t="str">
        <f>"男"</f>
        <v>男</v>
      </c>
      <c r="D1819" s="6" t="str">
        <f>"202123041328"</f>
        <v>202123041328</v>
      </c>
      <c r="E1819" s="10" t="s">
        <v>20</v>
      </c>
      <c r="F1819" s="6" t="s">
        <v>25</v>
      </c>
      <c r="G1819" s="8">
        <v>0</v>
      </c>
      <c r="H1819" s="9">
        <v>1</v>
      </c>
    </row>
    <row r="1820" spans="1:8">
      <c r="A1820" s="5">
        <v>1574</v>
      </c>
      <c r="B1820" s="6" t="str">
        <f>"邓锋"</f>
        <v>邓锋</v>
      </c>
      <c r="C1820" s="6" t="str">
        <f>"男"</f>
        <v>男</v>
      </c>
      <c r="D1820" s="6" t="str">
        <f>"202123041329"</f>
        <v>202123041329</v>
      </c>
      <c r="E1820" s="10" t="s">
        <v>20</v>
      </c>
      <c r="F1820" s="6" t="s">
        <v>25</v>
      </c>
      <c r="G1820" s="8">
        <v>72.3</v>
      </c>
      <c r="H1820" s="6"/>
    </row>
    <row r="1821" spans="1:8">
      <c r="A1821" s="5">
        <v>1604</v>
      </c>
      <c r="B1821" s="6" t="str">
        <f>"吴亚君"</f>
        <v>吴亚君</v>
      </c>
      <c r="C1821" s="6" t="str">
        <f>"男"</f>
        <v>男</v>
      </c>
      <c r="D1821" s="6" t="str">
        <f>"202123041330"</f>
        <v>202123041330</v>
      </c>
      <c r="E1821" s="10" t="s">
        <v>20</v>
      </c>
      <c r="F1821" s="6" t="s">
        <v>25</v>
      </c>
      <c r="G1821" s="8">
        <v>69.849999999999994</v>
      </c>
      <c r="H1821" s="6"/>
    </row>
    <row r="1822" spans="1:8">
      <c r="A1822" s="5">
        <v>1566</v>
      </c>
      <c r="B1822" s="6" t="str">
        <f>"黄捷"</f>
        <v>黄捷</v>
      </c>
      <c r="C1822" s="6" t="str">
        <f>"男"</f>
        <v>男</v>
      </c>
      <c r="D1822" s="6" t="str">
        <f>"202123041401"</f>
        <v>202123041401</v>
      </c>
      <c r="E1822" s="10" t="s">
        <v>20</v>
      </c>
      <c r="F1822" s="6" t="s">
        <v>25</v>
      </c>
      <c r="G1822" s="8">
        <v>51.25</v>
      </c>
      <c r="H1822" s="6"/>
    </row>
    <row r="1823" spans="1:8">
      <c r="A1823" s="5">
        <v>1563</v>
      </c>
      <c r="B1823" s="6" t="str">
        <f>"石海艳"</f>
        <v>石海艳</v>
      </c>
      <c r="C1823" s="6" t="str">
        <f>"女"</f>
        <v>女</v>
      </c>
      <c r="D1823" s="6" t="str">
        <f>"202123041402"</f>
        <v>202123041402</v>
      </c>
      <c r="E1823" s="10" t="s">
        <v>20</v>
      </c>
      <c r="F1823" s="6" t="s">
        <v>25</v>
      </c>
      <c r="G1823" s="8">
        <v>64.5</v>
      </c>
      <c r="H1823" s="6"/>
    </row>
    <row r="1824" spans="1:8">
      <c r="A1824" s="5">
        <v>1570</v>
      </c>
      <c r="B1824" s="6" t="str">
        <f>"邓集镒"</f>
        <v>邓集镒</v>
      </c>
      <c r="C1824" s="6" t="str">
        <f>"男"</f>
        <v>男</v>
      </c>
      <c r="D1824" s="6" t="str">
        <f>"202123041403"</f>
        <v>202123041403</v>
      </c>
      <c r="E1824" s="10" t="s">
        <v>20</v>
      </c>
      <c r="F1824" s="6" t="s">
        <v>25</v>
      </c>
      <c r="G1824" s="8">
        <v>75.45</v>
      </c>
      <c r="H1824" s="6"/>
    </row>
    <row r="1825" spans="1:8">
      <c r="A1825" s="5">
        <v>1606</v>
      </c>
      <c r="B1825" s="6" t="str">
        <f>"隆花果"</f>
        <v>隆花果</v>
      </c>
      <c r="C1825" s="6" t="str">
        <f t="shared" ref="C1825:C1843" si="86">"女"</f>
        <v>女</v>
      </c>
      <c r="D1825" s="6" t="str">
        <f>"202123041404"</f>
        <v>202123041404</v>
      </c>
      <c r="E1825" s="10" t="s">
        <v>20</v>
      </c>
      <c r="F1825" s="6" t="s">
        <v>25</v>
      </c>
      <c r="G1825" s="8">
        <v>59.55</v>
      </c>
      <c r="H1825" s="6"/>
    </row>
    <row r="1826" spans="1:8">
      <c r="A1826" s="5">
        <v>1579</v>
      </c>
      <c r="B1826" s="6" t="str">
        <f>"陈斌"</f>
        <v>陈斌</v>
      </c>
      <c r="C1826" s="6" t="str">
        <f t="shared" si="86"/>
        <v>女</v>
      </c>
      <c r="D1826" s="6" t="str">
        <f>"202123041405"</f>
        <v>202123041405</v>
      </c>
      <c r="E1826" s="10" t="s">
        <v>20</v>
      </c>
      <c r="F1826" s="6" t="s">
        <v>25</v>
      </c>
      <c r="G1826" s="8">
        <v>48.35</v>
      </c>
      <c r="H1826" s="6"/>
    </row>
    <row r="1827" spans="1:8">
      <c r="A1827" s="5">
        <v>1624</v>
      </c>
      <c r="B1827" s="6" t="str">
        <f>"陈思余"</f>
        <v>陈思余</v>
      </c>
      <c r="C1827" s="6" t="str">
        <f t="shared" si="86"/>
        <v>女</v>
      </c>
      <c r="D1827" s="6" t="str">
        <f>"202123041406"</f>
        <v>202123041406</v>
      </c>
      <c r="E1827" s="10" t="s">
        <v>20</v>
      </c>
      <c r="F1827" s="6" t="s">
        <v>25</v>
      </c>
      <c r="G1827" s="8">
        <v>60.5</v>
      </c>
      <c r="H1827" s="6"/>
    </row>
    <row r="1828" spans="1:8">
      <c r="A1828" s="5">
        <v>1565</v>
      </c>
      <c r="B1828" s="6" t="str">
        <f>"林丽娟"</f>
        <v>林丽娟</v>
      </c>
      <c r="C1828" s="6" t="str">
        <f t="shared" si="86"/>
        <v>女</v>
      </c>
      <c r="D1828" s="6" t="str">
        <f>"202123041407"</f>
        <v>202123041407</v>
      </c>
      <c r="E1828" s="10" t="s">
        <v>20</v>
      </c>
      <c r="F1828" s="6" t="s">
        <v>25</v>
      </c>
      <c r="G1828" s="8">
        <v>76.55</v>
      </c>
      <c r="H1828" s="6"/>
    </row>
    <row r="1829" spans="1:8">
      <c r="A1829" s="5">
        <v>1640</v>
      </c>
      <c r="B1829" s="6" t="str">
        <f>"岳思妮"</f>
        <v>岳思妮</v>
      </c>
      <c r="C1829" s="6" t="str">
        <f t="shared" si="86"/>
        <v>女</v>
      </c>
      <c r="D1829" s="6" t="str">
        <f>"202123041408"</f>
        <v>202123041408</v>
      </c>
      <c r="E1829" s="10" t="s">
        <v>20</v>
      </c>
      <c r="F1829" s="6" t="s">
        <v>25</v>
      </c>
      <c r="G1829" s="8">
        <v>74.650000000000006</v>
      </c>
      <c r="H1829" s="6"/>
    </row>
    <row r="1830" spans="1:8">
      <c r="A1830" s="5">
        <v>1664</v>
      </c>
      <c r="B1830" s="6" t="str">
        <f>"王煜"</f>
        <v>王煜</v>
      </c>
      <c r="C1830" s="6" t="str">
        <f t="shared" si="86"/>
        <v>女</v>
      </c>
      <c r="D1830" s="6" t="str">
        <f>"202124041409"</f>
        <v>202124041409</v>
      </c>
      <c r="E1830" s="10" t="s">
        <v>20</v>
      </c>
      <c r="F1830" s="6" t="s">
        <v>26</v>
      </c>
      <c r="G1830" s="8">
        <v>59.6</v>
      </c>
      <c r="H1830" s="6"/>
    </row>
    <row r="1831" spans="1:8">
      <c r="A1831" s="5">
        <v>1661</v>
      </c>
      <c r="B1831" s="6" t="str">
        <f>"易千淇"</f>
        <v>易千淇</v>
      </c>
      <c r="C1831" s="6" t="str">
        <f t="shared" si="86"/>
        <v>女</v>
      </c>
      <c r="D1831" s="6" t="str">
        <f>"202124041410"</f>
        <v>202124041410</v>
      </c>
      <c r="E1831" s="10" t="s">
        <v>20</v>
      </c>
      <c r="F1831" s="6" t="s">
        <v>26</v>
      </c>
      <c r="G1831" s="8">
        <v>49.1</v>
      </c>
      <c r="H1831" s="6"/>
    </row>
    <row r="1832" spans="1:8">
      <c r="A1832" s="5">
        <v>1707</v>
      </c>
      <c r="B1832" s="6" t="str">
        <f>"李淑君"</f>
        <v>李淑君</v>
      </c>
      <c r="C1832" s="6" t="str">
        <f t="shared" si="86"/>
        <v>女</v>
      </c>
      <c r="D1832" s="6" t="str">
        <f>"202124041411"</f>
        <v>202124041411</v>
      </c>
      <c r="E1832" s="10" t="s">
        <v>20</v>
      </c>
      <c r="F1832" s="6" t="s">
        <v>26</v>
      </c>
      <c r="G1832" s="8">
        <v>79.95</v>
      </c>
      <c r="H1832" s="6"/>
    </row>
    <row r="1833" spans="1:8">
      <c r="A1833" s="5">
        <v>1692</v>
      </c>
      <c r="B1833" s="6" t="str">
        <f>"李佳彬"</f>
        <v>李佳彬</v>
      </c>
      <c r="C1833" s="6" t="str">
        <f t="shared" si="86"/>
        <v>女</v>
      </c>
      <c r="D1833" s="6" t="str">
        <f>"202124041412"</f>
        <v>202124041412</v>
      </c>
      <c r="E1833" s="10" t="s">
        <v>20</v>
      </c>
      <c r="F1833" s="6" t="s">
        <v>26</v>
      </c>
      <c r="G1833" s="8">
        <v>56.8</v>
      </c>
      <c r="H1833" s="6"/>
    </row>
    <row r="1834" spans="1:8">
      <c r="A1834" s="5">
        <v>1675</v>
      </c>
      <c r="B1834" s="6" t="str">
        <f>"周旖莺"</f>
        <v>周旖莺</v>
      </c>
      <c r="C1834" s="6" t="str">
        <f t="shared" si="86"/>
        <v>女</v>
      </c>
      <c r="D1834" s="6" t="str">
        <f>"202124041413"</f>
        <v>202124041413</v>
      </c>
      <c r="E1834" s="10" t="s">
        <v>20</v>
      </c>
      <c r="F1834" s="6" t="s">
        <v>26</v>
      </c>
      <c r="G1834" s="8">
        <v>52.55</v>
      </c>
      <c r="H1834" s="6"/>
    </row>
    <row r="1835" spans="1:8">
      <c r="A1835" s="5">
        <v>1676</v>
      </c>
      <c r="B1835" s="6" t="str">
        <f>"陆一菲"</f>
        <v>陆一菲</v>
      </c>
      <c r="C1835" s="6" t="str">
        <f t="shared" si="86"/>
        <v>女</v>
      </c>
      <c r="D1835" s="6" t="str">
        <f>"202124041414"</f>
        <v>202124041414</v>
      </c>
      <c r="E1835" s="10" t="s">
        <v>20</v>
      </c>
      <c r="F1835" s="6" t="s">
        <v>26</v>
      </c>
      <c r="G1835" s="8">
        <v>74.2</v>
      </c>
      <c r="H1835" s="6"/>
    </row>
    <row r="1836" spans="1:8">
      <c r="A1836" s="5">
        <v>1709</v>
      </c>
      <c r="B1836" s="6" t="str">
        <f>"王嘉滢"</f>
        <v>王嘉滢</v>
      </c>
      <c r="C1836" s="6" t="str">
        <f t="shared" si="86"/>
        <v>女</v>
      </c>
      <c r="D1836" s="6" t="str">
        <f>"202124041415"</f>
        <v>202124041415</v>
      </c>
      <c r="E1836" s="10" t="s">
        <v>20</v>
      </c>
      <c r="F1836" s="6" t="s">
        <v>26</v>
      </c>
      <c r="G1836" s="8">
        <v>81.599999999999994</v>
      </c>
      <c r="H1836" s="6"/>
    </row>
    <row r="1837" spans="1:8">
      <c r="A1837" s="5">
        <v>1673</v>
      </c>
      <c r="B1837" s="6" t="str">
        <f>"唐风婷"</f>
        <v>唐风婷</v>
      </c>
      <c r="C1837" s="6" t="str">
        <f t="shared" si="86"/>
        <v>女</v>
      </c>
      <c r="D1837" s="6" t="str">
        <f>"202124041416"</f>
        <v>202124041416</v>
      </c>
      <c r="E1837" s="10" t="s">
        <v>20</v>
      </c>
      <c r="F1837" s="6" t="s">
        <v>26</v>
      </c>
      <c r="G1837" s="8">
        <v>77.8</v>
      </c>
      <c r="H1837" s="6"/>
    </row>
    <row r="1838" spans="1:8">
      <c r="A1838" s="5">
        <v>1667</v>
      </c>
      <c r="B1838" s="6" t="str">
        <f>"刘湘麟"</f>
        <v>刘湘麟</v>
      </c>
      <c r="C1838" s="6" t="str">
        <f t="shared" si="86"/>
        <v>女</v>
      </c>
      <c r="D1838" s="6" t="str">
        <f>"202124041417"</f>
        <v>202124041417</v>
      </c>
      <c r="E1838" s="10" t="s">
        <v>20</v>
      </c>
      <c r="F1838" s="6" t="s">
        <v>26</v>
      </c>
      <c r="G1838" s="8">
        <v>0</v>
      </c>
      <c r="H1838" s="9">
        <v>1</v>
      </c>
    </row>
    <row r="1839" spans="1:8">
      <c r="A1839" s="5">
        <v>1674</v>
      </c>
      <c r="B1839" s="6" t="str">
        <f>"张宇昕"</f>
        <v>张宇昕</v>
      </c>
      <c r="C1839" s="6" t="str">
        <f t="shared" si="86"/>
        <v>女</v>
      </c>
      <c r="D1839" s="6" t="str">
        <f>"202124041418"</f>
        <v>202124041418</v>
      </c>
      <c r="E1839" s="10" t="s">
        <v>20</v>
      </c>
      <c r="F1839" s="6" t="s">
        <v>26</v>
      </c>
      <c r="G1839" s="8">
        <v>0</v>
      </c>
      <c r="H1839" s="9">
        <v>1</v>
      </c>
    </row>
    <row r="1840" spans="1:8">
      <c r="A1840" s="5">
        <v>1680</v>
      </c>
      <c r="B1840" s="6" t="str">
        <f>"张静敏"</f>
        <v>张静敏</v>
      </c>
      <c r="C1840" s="6" t="str">
        <f t="shared" si="86"/>
        <v>女</v>
      </c>
      <c r="D1840" s="6" t="str">
        <f>"202124041419"</f>
        <v>202124041419</v>
      </c>
      <c r="E1840" s="10" t="s">
        <v>20</v>
      </c>
      <c r="F1840" s="6" t="s">
        <v>26</v>
      </c>
      <c r="G1840" s="8">
        <v>81.45</v>
      </c>
      <c r="H1840" s="6"/>
    </row>
    <row r="1841" spans="1:8">
      <c r="A1841" s="5">
        <v>1701</v>
      </c>
      <c r="B1841" s="6" t="str">
        <f>"夏天"</f>
        <v>夏天</v>
      </c>
      <c r="C1841" s="6" t="str">
        <f t="shared" si="86"/>
        <v>女</v>
      </c>
      <c r="D1841" s="6" t="str">
        <f>"202124041420"</f>
        <v>202124041420</v>
      </c>
      <c r="E1841" s="10" t="s">
        <v>20</v>
      </c>
      <c r="F1841" s="6" t="s">
        <v>26</v>
      </c>
      <c r="G1841" s="8">
        <v>68.05</v>
      </c>
      <c r="H1841" s="6"/>
    </row>
    <row r="1842" spans="1:8">
      <c r="A1842" s="5">
        <v>1669</v>
      </c>
      <c r="B1842" s="6" t="str">
        <f>"莫艳芳"</f>
        <v>莫艳芳</v>
      </c>
      <c r="C1842" s="6" t="str">
        <f t="shared" si="86"/>
        <v>女</v>
      </c>
      <c r="D1842" s="6" t="str">
        <f>"202124041421"</f>
        <v>202124041421</v>
      </c>
      <c r="E1842" s="10" t="s">
        <v>20</v>
      </c>
      <c r="F1842" s="6" t="s">
        <v>26</v>
      </c>
      <c r="G1842" s="8">
        <v>68.95</v>
      </c>
      <c r="H1842" s="6"/>
    </row>
    <row r="1843" spans="1:8">
      <c r="A1843" s="5">
        <v>1682</v>
      </c>
      <c r="B1843" s="6" t="str">
        <f>"刘萱"</f>
        <v>刘萱</v>
      </c>
      <c r="C1843" s="6" t="str">
        <f t="shared" si="86"/>
        <v>女</v>
      </c>
      <c r="D1843" s="6" t="str">
        <f>"202124041422"</f>
        <v>202124041422</v>
      </c>
      <c r="E1843" s="10" t="s">
        <v>20</v>
      </c>
      <c r="F1843" s="6" t="s">
        <v>26</v>
      </c>
      <c r="G1843" s="8">
        <v>55.4</v>
      </c>
      <c r="H1843" s="6"/>
    </row>
    <row r="1844" spans="1:8">
      <c r="A1844" s="5">
        <v>1670</v>
      </c>
      <c r="B1844" s="6" t="str">
        <f>"王国庆"</f>
        <v>王国庆</v>
      </c>
      <c r="C1844" s="6" t="str">
        <f>"男"</f>
        <v>男</v>
      </c>
      <c r="D1844" s="6" t="str">
        <f>"202124041423"</f>
        <v>202124041423</v>
      </c>
      <c r="E1844" s="10" t="s">
        <v>20</v>
      </c>
      <c r="F1844" s="6" t="s">
        <v>26</v>
      </c>
      <c r="G1844" s="8">
        <v>76.3</v>
      </c>
      <c r="H1844" s="6"/>
    </row>
    <row r="1845" spans="1:8">
      <c r="A1845" s="5">
        <v>1704</v>
      </c>
      <c r="B1845" s="6" t="str">
        <f>"汪玉丹"</f>
        <v>汪玉丹</v>
      </c>
      <c r="C1845" s="6" t="str">
        <f t="shared" ref="C1845:C1856" si="87">"女"</f>
        <v>女</v>
      </c>
      <c r="D1845" s="6" t="str">
        <f>"202124041424"</f>
        <v>202124041424</v>
      </c>
      <c r="E1845" s="10" t="s">
        <v>20</v>
      </c>
      <c r="F1845" s="6" t="s">
        <v>26</v>
      </c>
      <c r="G1845" s="8">
        <v>66.7</v>
      </c>
      <c r="H1845" s="6"/>
    </row>
    <row r="1846" spans="1:8">
      <c r="A1846" s="5">
        <v>1668</v>
      </c>
      <c r="B1846" s="6" t="str">
        <f>"袁婷"</f>
        <v>袁婷</v>
      </c>
      <c r="C1846" s="6" t="str">
        <f t="shared" si="87"/>
        <v>女</v>
      </c>
      <c r="D1846" s="6" t="str">
        <f>"202124041425"</f>
        <v>202124041425</v>
      </c>
      <c r="E1846" s="10" t="s">
        <v>20</v>
      </c>
      <c r="F1846" s="6" t="s">
        <v>26</v>
      </c>
      <c r="G1846" s="8">
        <v>0</v>
      </c>
      <c r="H1846" s="9">
        <v>1</v>
      </c>
    </row>
    <row r="1847" spans="1:8">
      <c r="A1847" s="5">
        <v>1699</v>
      </c>
      <c r="B1847" s="6" t="str">
        <f>"陈思霖"</f>
        <v>陈思霖</v>
      </c>
      <c r="C1847" s="6" t="str">
        <f t="shared" si="87"/>
        <v>女</v>
      </c>
      <c r="D1847" s="6" t="str">
        <f>"202124041426"</f>
        <v>202124041426</v>
      </c>
      <c r="E1847" s="10" t="s">
        <v>20</v>
      </c>
      <c r="F1847" s="6" t="s">
        <v>26</v>
      </c>
      <c r="G1847" s="8">
        <v>69.3</v>
      </c>
      <c r="H1847" s="6"/>
    </row>
    <row r="1848" spans="1:8">
      <c r="A1848" s="5">
        <v>1689</v>
      </c>
      <c r="B1848" s="6" t="str">
        <f>"黄雅琴"</f>
        <v>黄雅琴</v>
      </c>
      <c r="C1848" s="6" t="str">
        <f t="shared" si="87"/>
        <v>女</v>
      </c>
      <c r="D1848" s="6" t="str">
        <f>"202124041427"</f>
        <v>202124041427</v>
      </c>
      <c r="E1848" s="10" t="s">
        <v>20</v>
      </c>
      <c r="F1848" s="6" t="s">
        <v>26</v>
      </c>
      <c r="G1848" s="8">
        <v>67</v>
      </c>
      <c r="H1848" s="6"/>
    </row>
    <row r="1849" spans="1:8">
      <c r="A1849" s="5">
        <v>1660</v>
      </c>
      <c r="B1849" s="6" t="str">
        <f>"毛婉蓉"</f>
        <v>毛婉蓉</v>
      </c>
      <c r="C1849" s="6" t="str">
        <f t="shared" si="87"/>
        <v>女</v>
      </c>
      <c r="D1849" s="6" t="str">
        <f>"202124041428"</f>
        <v>202124041428</v>
      </c>
      <c r="E1849" s="10" t="s">
        <v>20</v>
      </c>
      <c r="F1849" s="6" t="s">
        <v>26</v>
      </c>
      <c r="G1849" s="8">
        <v>76.45</v>
      </c>
      <c r="H1849" s="6"/>
    </row>
    <row r="1850" spans="1:8">
      <c r="A1850" s="5">
        <v>1703</v>
      </c>
      <c r="B1850" s="6" t="str">
        <f>"欧阳菀霞"</f>
        <v>欧阳菀霞</v>
      </c>
      <c r="C1850" s="6" t="str">
        <f t="shared" si="87"/>
        <v>女</v>
      </c>
      <c r="D1850" s="6" t="str">
        <f>"202124041429"</f>
        <v>202124041429</v>
      </c>
      <c r="E1850" s="10" t="s">
        <v>20</v>
      </c>
      <c r="F1850" s="6" t="s">
        <v>26</v>
      </c>
      <c r="G1850" s="8">
        <v>79.849999999999994</v>
      </c>
      <c r="H1850" s="6"/>
    </row>
    <row r="1851" spans="1:8">
      <c r="A1851" s="5">
        <v>1688</v>
      </c>
      <c r="B1851" s="6" t="str">
        <f>"邓静言"</f>
        <v>邓静言</v>
      </c>
      <c r="C1851" s="6" t="str">
        <f t="shared" si="87"/>
        <v>女</v>
      </c>
      <c r="D1851" s="6" t="str">
        <f>"202124041430"</f>
        <v>202124041430</v>
      </c>
      <c r="E1851" s="10" t="s">
        <v>20</v>
      </c>
      <c r="F1851" s="6" t="s">
        <v>26</v>
      </c>
      <c r="G1851" s="8">
        <v>76.8</v>
      </c>
      <c r="H1851" s="6"/>
    </row>
    <row r="1852" spans="1:8">
      <c r="A1852" s="5">
        <v>1657</v>
      </c>
      <c r="B1852" s="6" t="str">
        <f>"江娅婷"</f>
        <v>江娅婷</v>
      </c>
      <c r="C1852" s="6" t="str">
        <f t="shared" si="87"/>
        <v>女</v>
      </c>
      <c r="D1852" s="6" t="str">
        <f>"202124041501"</f>
        <v>202124041501</v>
      </c>
      <c r="E1852" s="10" t="s">
        <v>20</v>
      </c>
      <c r="F1852" s="6" t="s">
        <v>26</v>
      </c>
      <c r="G1852" s="8">
        <v>0</v>
      </c>
      <c r="H1852" s="9">
        <v>1</v>
      </c>
    </row>
    <row r="1853" spans="1:8">
      <c r="A1853" s="5">
        <v>1679</v>
      </c>
      <c r="B1853" s="6" t="str">
        <f>"易艾琪"</f>
        <v>易艾琪</v>
      </c>
      <c r="C1853" s="6" t="str">
        <f t="shared" si="87"/>
        <v>女</v>
      </c>
      <c r="D1853" s="6" t="str">
        <f>"202124041502"</f>
        <v>202124041502</v>
      </c>
      <c r="E1853" s="10" t="s">
        <v>20</v>
      </c>
      <c r="F1853" s="6" t="s">
        <v>26</v>
      </c>
      <c r="G1853" s="8">
        <v>47.5</v>
      </c>
      <c r="H1853" s="6"/>
    </row>
    <row r="1854" spans="1:8">
      <c r="A1854" s="5">
        <v>1683</v>
      </c>
      <c r="B1854" s="6" t="str">
        <f>"刘果"</f>
        <v>刘果</v>
      </c>
      <c r="C1854" s="6" t="str">
        <f t="shared" si="87"/>
        <v>女</v>
      </c>
      <c r="D1854" s="6" t="str">
        <f>"202124041503"</f>
        <v>202124041503</v>
      </c>
      <c r="E1854" s="10" t="s">
        <v>20</v>
      </c>
      <c r="F1854" s="6" t="s">
        <v>26</v>
      </c>
      <c r="G1854" s="8">
        <v>74.599999999999994</v>
      </c>
      <c r="H1854" s="6"/>
    </row>
    <row r="1855" spans="1:8">
      <c r="A1855" s="5">
        <v>1656</v>
      </c>
      <c r="B1855" s="6" t="str">
        <f>"罗瑾钰"</f>
        <v>罗瑾钰</v>
      </c>
      <c r="C1855" s="6" t="str">
        <f t="shared" si="87"/>
        <v>女</v>
      </c>
      <c r="D1855" s="6" t="str">
        <f>"202124041504"</f>
        <v>202124041504</v>
      </c>
      <c r="E1855" s="10" t="s">
        <v>20</v>
      </c>
      <c r="F1855" s="6" t="s">
        <v>26</v>
      </c>
      <c r="G1855" s="8">
        <v>42.35</v>
      </c>
      <c r="H1855" s="6"/>
    </row>
    <row r="1856" spans="1:8">
      <c r="A1856" s="5">
        <v>1696</v>
      </c>
      <c r="B1856" s="6" t="str">
        <f>"喻芳瑾"</f>
        <v>喻芳瑾</v>
      </c>
      <c r="C1856" s="6" t="str">
        <f t="shared" si="87"/>
        <v>女</v>
      </c>
      <c r="D1856" s="6" t="str">
        <f>"202124041505"</f>
        <v>202124041505</v>
      </c>
      <c r="E1856" s="10" t="s">
        <v>20</v>
      </c>
      <c r="F1856" s="6" t="s">
        <v>26</v>
      </c>
      <c r="G1856" s="8">
        <v>59.1</v>
      </c>
      <c r="H1856" s="6"/>
    </row>
    <row r="1857" spans="1:8">
      <c r="A1857" s="5">
        <v>1665</v>
      </c>
      <c r="B1857" s="6" t="str">
        <f>"莫悠"</f>
        <v>莫悠</v>
      </c>
      <c r="C1857" s="6" t="str">
        <f>"男"</f>
        <v>男</v>
      </c>
      <c r="D1857" s="6" t="str">
        <f>"202124041506"</f>
        <v>202124041506</v>
      </c>
      <c r="E1857" s="10" t="s">
        <v>20</v>
      </c>
      <c r="F1857" s="6" t="s">
        <v>26</v>
      </c>
      <c r="G1857" s="8">
        <v>0</v>
      </c>
      <c r="H1857" s="9">
        <v>1</v>
      </c>
    </row>
    <row r="1858" spans="1:8">
      <c r="A1858" s="5">
        <v>1708</v>
      </c>
      <c r="B1858" s="6" t="str">
        <f>"范梦颖"</f>
        <v>范梦颖</v>
      </c>
      <c r="C1858" s="6" t="str">
        <f t="shared" ref="C1858:C1863" si="88">"女"</f>
        <v>女</v>
      </c>
      <c r="D1858" s="6" t="str">
        <f>"202124041507"</f>
        <v>202124041507</v>
      </c>
      <c r="E1858" s="10" t="s">
        <v>20</v>
      </c>
      <c r="F1858" s="6" t="s">
        <v>26</v>
      </c>
      <c r="G1858" s="8">
        <v>65.75</v>
      </c>
      <c r="H1858" s="6"/>
    </row>
    <row r="1859" spans="1:8">
      <c r="A1859" s="5">
        <v>1693</v>
      </c>
      <c r="B1859" s="6" t="str">
        <f>"熊尧金"</f>
        <v>熊尧金</v>
      </c>
      <c r="C1859" s="6" t="str">
        <f t="shared" si="88"/>
        <v>女</v>
      </c>
      <c r="D1859" s="6" t="str">
        <f>"202124041508"</f>
        <v>202124041508</v>
      </c>
      <c r="E1859" s="10" t="s">
        <v>20</v>
      </c>
      <c r="F1859" s="6" t="s">
        <v>26</v>
      </c>
      <c r="G1859" s="8">
        <v>72.349999999999994</v>
      </c>
      <c r="H1859" s="6"/>
    </row>
    <row r="1860" spans="1:8">
      <c r="A1860" s="5">
        <v>1671</v>
      </c>
      <c r="B1860" s="6" t="str">
        <f>"马凌利"</f>
        <v>马凌利</v>
      </c>
      <c r="C1860" s="6" t="str">
        <f t="shared" si="88"/>
        <v>女</v>
      </c>
      <c r="D1860" s="6" t="str">
        <f>"202124041509"</f>
        <v>202124041509</v>
      </c>
      <c r="E1860" s="10" t="s">
        <v>20</v>
      </c>
      <c r="F1860" s="6" t="s">
        <v>26</v>
      </c>
      <c r="G1860" s="8">
        <v>0</v>
      </c>
      <c r="H1860" s="9">
        <v>1</v>
      </c>
    </row>
    <row r="1861" spans="1:8">
      <c r="A1861" s="5">
        <v>1706</v>
      </c>
      <c r="B1861" s="6" t="str">
        <f>"杨语嫣"</f>
        <v>杨语嫣</v>
      </c>
      <c r="C1861" s="6" t="str">
        <f t="shared" si="88"/>
        <v>女</v>
      </c>
      <c r="D1861" s="6" t="str">
        <f>"202124041510"</f>
        <v>202124041510</v>
      </c>
      <c r="E1861" s="10" t="s">
        <v>20</v>
      </c>
      <c r="F1861" s="6" t="s">
        <v>26</v>
      </c>
      <c r="G1861" s="8">
        <v>69.75</v>
      </c>
      <c r="H1861" s="6"/>
    </row>
    <row r="1862" spans="1:8">
      <c r="A1862" s="5">
        <v>1697</v>
      </c>
      <c r="B1862" s="6" t="str">
        <f>"黄丹"</f>
        <v>黄丹</v>
      </c>
      <c r="C1862" s="6" t="str">
        <f t="shared" si="88"/>
        <v>女</v>
      </c>
      <c r="D1862" s="6" t="str">
        <f>"202124041511"</f>
        <v>202124041511</v>
      </c>
      <c r="E1862" s="10" t="s">
        <v>20</v>
      </c>
      <c r="F1862" s="6" t="s">
        <v>26</v>
      </c>
      <c r="G1862" s="8">
        <v>65.05</v>
      </c>
      <c r="H1862" s="6"/>
    </row>
    <row r="1863" spans="1:8">
      <c r="A1863" s="5">
        <v>1691</v>
      </c>
      <c r="B1863" s="6" t="str">
        <f>"张群尧"</f>
        <v>张群尧</v>
      </c>
      <c r="C1863" s="6" t="str">
        <f t="shared" si="88"/>
        <v>女</v>
      </c>
      <c r="D1863" s="6" t="str">
        <f>"202124041512"</f>
        <v>202124041512</v>
      </c>
      <c r="E1863" s="10" t="s">
        <v>20</v>
      </c>
      <c r="F1863" s="6" t="s">
        <v>26</v>
      </c>
      <c r="G1863" s="8">
        <v>51.5</v>
      </c>
      <c r="H1863" s="6"/>
    </row>
    <row r="1864" spans="1:8">
      <c r="A1864" s="5">
        <v>1698</v>
      </c>
      <c r="B1864" s="6" t="str">
        <f>"颜宁"</f>
        <v>颜宁</v>
      </c>
      <c r="C1864" s="6" t="str">
        <f>"男"</f>
        <v>男</v>
      </c>
      <c r="D1864" s="6" t="str">
        <f>"202124041513"</f>
        <v>202124041513</v>
      </c>
      <c r="E1864" s="10" t="s">
        <v>20</v>
      </c>
      <c r="F1864" s="6" t="s">
        <v>26</v>
      </c>
      <c r="G1864" s="8">
        <v>72.25</v>
      </c>
      <c r="H1864" s="6"/>
    </row>
    <row r="1865" spans="1:8">
      <c r="A1865" s="5">
        <v>1705</v>
      </c>
      <c r="B1865" s="6" t="str">
        <f>"肖娟"</f>
        <v>肖娟</v>
      </c>
      <c r="C1865" s="6" t="str">
        <f t="shared" ref="C1865:C1875" si="89">"女"</f>
        <v>女</v>
      </c>
      <c r="D1865" s="6" t="str">
        <f>"202124041514"</f>
        <v>202124041514</v>
      </c>
      <c r="E1865" s="10" t="s">
        <v>20</v>
      </c>
      <c r="F1865" s="6" t="s">
        <v>26</v>
      </c>
      <c r="G1865" s="8">
        <v>75.599999999999994</v>
      </c>
      <c r="H1865" s="6"/>
    </row>
    <row r="1866" spans="1:8">
      <c r="A1866" s="5">
        <v>1658</v>
      </c>
      <c r="B1866" s="6" t="str">
        <f>"罗芳"</f>
        <v>罗芳</v>
      </c>
      <c r="C1866" s="6" t="str">
        <f t="shared" si="89"/>
        <v>女</v>
      </c>
      <c r="D1866" s="6" t="str">
        <f>"202124041515"</f>
        <v>202124041515</v>
      </c>
      <c r="E1866" s="10" t="s">
        <v>20</v>
      </c>
      <c r="F1866" s="6" t="s">
        <v>26</v>
      </c>
      <c r="G1866" s="8">
        <v>81.95</v>
      </c>
      <c r="H1866" s="6"/>
    </row>
    <row r="1867" spans="1:8">
      <c r="A1867" s="5">
        <v>1687</v>
      </c>
      <c r="B1867" s="6" t="str">
        <f>"陈雅慧"</f>
        <v>陈雅慧</v>
      </c>
      <c r="C1867" s="6" t="str">
        <f t="shared" si="89"/>
        <v>女</v>
      </c>
      <c r="D1867" s="6" t="str">
        <f>"202124041516"</f>
        <v>202124041516</v>
      </c>
      <c r="E1867" s="10" t="s">
        <v>20</v>
      </c>
      <c r="F1867" s="6" t="s">
        <v>26</v>
      </c>
      <c r="G1867" s="8">
        <v>77</v>
      </c>
      <c r="H1867" s="6"/>
    </row>
    <row r="1868" spans="1:8">
      <c r="A1868" s="5">
        <v>1672</v>
      </c>
      <c r="B1868" s="6" t="str">
        <f>"彭雪"</f>
        <v>彭雪</v>
      </c>
      <c r="C1868" s="6" t="str">
        <f t="shared" si="89"/>
        <v>女</v>
      </c>
      <c r="D1868" s="6" t="str">
        <f>"202124041517"</f>
        <v>202124041517</v>
      </c>
      <c r="E1868" s="10" t="s">
        <v>20</v>
      </c>
      <c r="F1868" s="6" t="s">
        <v>26</v>
      </c>
      <c r="G1868" s="8">
        <v>69.55</v>
      </c>
      <c r="H1868" s="6"/>
    </row>
    <row r="1869" spans="1:8">
      <c r="A1869" s="5">
        <v>1678</v>
      </c>
      <c r="B1869" s="6" t="str">
        <f>"唐雪琴"</f>
        <v>唐雪琴</v>
      </c>
      <c r="C1869" s="6" t="str">
        <f t="shared" si="89"/>
        <v>女</v>
      </c>
      <c r="D1869" s="6" t="str">
        <f>"202124041518"</f>
        <v>202124041518</v>
      </c>
      <c r="E1869" s="10" t="s">
        <v>20</v>
      </c>
      <c r="F1869" s="6" t="s">
        <v>26</v>
      </c>
      <c r="G1869" s="8">
        <v>0</v>
      </c>
      <c r="H1869" s="9">
        <v>1</v>
      </c>
    </row>
    <row r="1870" spans="1:8">
      <c r="A1870" s="5">
        <v>1663</v>
      </c>
      <c r="B1870" s="6" t="str">
        <f>"田英铭"</f>
        <v>田英铭</v>
      </c>
      <c r="C1870" s="6" t="str">
        <f t="shared" si="89"/>
        <v>女</v>
      </c>
      <c r="D1870" s="6" t="str">
        <f>"202124041519"</f>
        <v>202124041519</v>
      </c>
      <c r="E1870" s="10" t="s">
        <v>20</v>
      </c>
      <c r="F1870" s="6" t="s">
        <v>26</v>
      </c>
      <c r="G1870" s="8">
        <v>54.85</v>
      </c>
      <c r="H1870" s="6"/>
    </row>
    <row r="1871" spans="1:8">
      <c r="A1871" s="5">
        <v>1690</v>
      </c>
      <c r="B1871" s="6" t="str">
        <f>"陈洁"</f>
        <v>陈洁</v>
      </c>
      <c r="C1871" s="6" t="str">
        <f t="shared" si="89"/>
        <v>女</v>
      </c>
      <c r="D1871" s="6" t="str">
        <f>"202124041520"</f>
        <v>202124041520</v>
      </c>
      <c r="E1871" s="10" t="s">
        <v>20</v>
      </c>
      <c r="F1871" s="6" t="s">
        <v>26</v>
      </c>
      <c r="G1871" s="8">
        <v>72.599999999999994</v>
      </c>
      <c r="H1871" s="6"/>
    </row>
    <row r="1872" spans="1:8">
      <c r="A1872" s="5">
        <v>1702</v>
      </c>
      <c r="B1872" s="6" t="str">
        <f>"张晶"</f>
        <v>张晶</v>
      </c>
      <c r="C1872" s="6" t="str">
        <f t="shared" si="89"/>
        <v>女</v>
      </c>
      <c r="D1872" s="6" t="str">
        <f>"202124041521"</f>
        <v>202124041521</v>
      </c>
      <c r="E1872" s="10" t="s">
        <v>20</v>
      </c>
      <c r="F1872" s="6" t="s">
        <v>26</v>
      </c>
      <c r="G1872" s="8">
        <v>83</v>
      </c>
      <c r="H1872" s="6"/>
    </row>
    <row r="1873" spans="1:8">
      <c r="A1873" s="5">
        <v>1666</v>
      </c>
      <c r="B1873" s="6" t="str">
        <f>"余嫦莹"</f>
        <v>余嫦莹</v>
      </c>
      <c r="C1873" s="6" t="str">
        <f t="shared" si="89"/>
        <v>女</v>
      </c>
      <c r="D1873" s="6" t="str">
        <f>"202124041522"</f>
        <v>202124041522</v>
      </c>
      <c r="E1873" s="10" t="s">
        <v>20</v>
      </c>
      <c r="F1873" s="6" t="s">
        <v>26</v>
      </c>
      <c r="G1873" s="8">
        <v>59.1</v>
      </c>
      <c r="H1873" s="6"/>
    </row>
    <row r="1874" spans="1:8">
      <c r="A1874" s="5">
        <v>1659</v>
      </c>
      <c r="B1874" s="6" t="str">
        <f>"沈姣艳"</f>
        <v>沈姣艳</v>
      </c>
      <c r="C1874" s="6" t="str">
        <f t="shared" si="89"/>
        <v>女</v>
      </c>
      <c r="D1874" s="6" t="str">
        <f>"202124041523"</f>
        <v>202124041523</v>
      </c>
      <c r="E1874" s="10" t="s">
        <v>20</v>
      </c>
      <c r="F1874" s="6" t="s">
        <v>26</v>
      </c>
      <c r="G1874" s="8">
        <v>74.150000000000006</v>
      </c>
      <c r="H1874" s="6"/>
    </row>
    <row r="1875" spans="1:8">
      <c r="A1875" s="5">
        <v>1694</v>
      </c>
      <c r="B1875" s="6" t="str">
        <f>"蒋梦琪"</f>
        <v>蒋梦琪</v>
      </c>
      <c r="C1875" s="6" t="str">
        <f t="shared" si="89"/>
        <v>女</v>
      </c>
      <c r="D1875" s="6" t="str">
        <f>"202124041524"</f>
        <v>202124041524</v>
      </c>
      <c r="E1875" s="10" t="s">
        <v>20</v>
      </c>
      <c r="F1875" s="6" t="s">
        <v>26</v>
      </c>
      <c r="G1875" s="8">
        <v>49.95</v>
      </c>
      <c r="H1875" s="6"/>
    </row>
    <row r="1876" spans="1:8">
      <c r="A1876" s="5">
        <v>1662</v>
      </c>
      <c r="B1876" s="6" t="str">
        <f>"刘航"</f>
        <v>刘航</v>
      </c>
      <c r="C1876" s="6" t="str">
        <f>"男"</f>
        <v>男</v>
      </c>
      <c r="D1876" s="6" t="str">
        <f>"202124041525"</f>
        <v>202124041525</v>
      </c>
      <c r="E1876" s="10" t="s">
        <v>20</v>
      </c>
      <c r="F1876" s="6" t="s">
        <v>26</v>
      </c>
      <c r="G1876" s="8">
        <v>73.849999999999994</v>
      </c>
      <c r="H1876" s="6"/>
    </row>
    <row r="1877" spans="1:8">
      <c r="A1877" s="5">
        <v>1681</v>
      </c>
      <c r="B1877" s="6" t="str">
        <f>"夏云凤"</f>
        <v>夏云凤</v>
      </c>
      <c r="C1877" s="6" t="str">
        <f t="shared" ref="C1877:C1895" si="90">"女"</f>
        <v>女</v>
      </c>
      <c r="D1877" s="6" t="str">
        <f>"202124041526"</f>
        <v>202124041526</v>
      </c>
      <c r="E1877" s="10" t="s">
        <v>20</v>
      </c>
      <c r="F1877" s="6" t="s">
        <v>26</v>
      </c>
      <c r="G1877" s="8">
        <v>52.3</v>
      </c>
      <c r="H1877" s="6"/>
    </row>
    <row r="1878" spans="1:8">
      <c r="A1878" s="5">
        <v>1700</v>
      </c>
      <c r="B1878" s="6" t="str">
        <f>"李卓"</f>
        <v>李卓</v>
      </c>
      <c r="C1878" s="6" t="str">
        <f t="shared" si="90"/>
        <v>女</v>
      </c>
      <c r="D1878" s="6" t="str">
        <f>"202124041527"</f>
        <v>202124041527</v>
      </c>
      <c r="E1878" s="10" t="s">
        <v>20</v>
      </c>
      <c r="F1878" s="6" t="s">
        <v>26</v>
      </c>
      <c r="G1878" s="8">
        <v>71.900000000000006</v>
      </c>
      <c r="H1878" s="6"/>
    </row>
    <row r="1879" spans="1:8">
      <c r="A1879" s="5">
        <v>1677</v>
      </c>
      <c r="B1879" s="6" t="str">
        <f>"何泉远"</f>
        <v>何泉远</v>
      </c>
      <c r="C1879" s="6" t="str">
        <f t="shared" si="90"/>
        <v>女</v>
      </c>
      <c r="D1879" s="6" t="str">
        <f>"202124041528"</f>
        <v>202124041528</v>
      </c>
      <c r="E1879" s="10" t="s">
        <v>20</v>
      </c>
      <c r="F1879" s="6" t="s">
        <v>26</v>
      </c>
      <c r="G1879" s="8">
        <v>0</v>
      </c>
      <c r="H1879" s="9">
        <v>1</v>
      </c>
    </row>
    <row r="1880" spans="1:8">
      <c r="A1880" s="5">
        <v>1686</v>
      </c>
      <c r="B1880" s="6" t="str">
        <f>"蒋鹤琴"</f>
        <v>蒋鹤琴</v>
      </c>
      <c r="C1880" s="6" t="str">
        <f t="shared" si="90"/>
        <v>女</v>
      </c>
      <c r="D1880" s="6" t="str">
        <f>"202124041529"</f>
        <v>202124041529</v>
      </c>
      <c r="E1880" s="10" t="s">
        <v>20</v>
      </c>
      <c r="F1880" s="6" t="s">
        <v>26</v>
      </c>
      <c r="G1880" s="8">
        <v>77.650000000000006</v>
      </c>
      <c r="H1880" s="6"/>
    </row>
    <row r="1881" spans="1:8">
      <c r="A1881" s="5">
        <v>1685</v>
      </c>
      <c r="B1881" s="6" t="str">
        <f>"尹芬"</f>
        <v>尹芬</v>
      </c>
      <c r="C1881" s="6" t="str">
        <f t="shared" si="90"/>
        <v>女</v>
      </c>
      <c r="D1881" s="6" t="str">
        <f>"202124041530"</f>
        <v>202124041530</v>
      </c>
      <c r="E1881" s="10" t="s">
        <v>20</v>
      </c>
      <c r="F1881" s="6" t="s">
        <v>26</v>
      </c>
      <c r="G1881" s="8">
        <v>65.25</v>
      </c>
      <c r="H1881" s="6"/>
    </row>
    <row r="1882" spans="1:8">
      <c r="A1882" s="5">
        <v>1684</v>
      </c>
      <c r="B1882" s="6" t="str">
        <f>"王萍"</f>
        <v>王萍</v>
      </c>
      <c r="C1882" s="6" t="str">
        <f t="shared" si="90"/>
        <v>女</v>
      </c>
      <c r="D1882" s="6" t="str">
        <f>"202124041601"</f>
        <v>202124041601</v>
      </c>
      <c r="E1882" s="10" t="s">
        <v>20</v>
      </c>
      <c r="F1882" s="6" t="s">
        <v>26</v>
      </c>
      <c r="G1882" s="8">
        <v>79.75</v>
      </c>
      <c r="H1882" s="6"/>
    </row>
    <row r="1883" spans="1:8">
      <c r="A1883" s="5">
        <v>1695</v>
      </c>
      <c r="B1883" s="6" t="str">
        <f>"张思洁"</f>
        <v>张思洁</v>
      </c>
      <c r="C1883" s="6" t="str">
        <f t="shared" si="90"/>
        <v>女</v>
      </c>
      <c r="D1883" s="6" t="str">
        <f>"202124041602"</f>
        <v>202124041602</v>
      </c>
      <c r="E1883" s="10" t="s">
        <v>20</v>
      </c>
      <c r="F1883" s="6" t="s">
        <v>26</v>
      </c>
      <c r="G1883" s="8">
        <v>68.3</v>
      </c>
      <c r="H1883" s="6"/>
    </row>
    <row r="1884" spans="1:8">
      <c r="A1884" s="5">
        <v>1738</v>
      </c>
      <c r="B1884" s="6" t="str">
        <f>"刘腊梅"</f>
        <v>刘腊梅</v>
      </c>
      <c r="C1884" s="6" t="str">
        <f t="shared" si="90"/>
        <v>女</v>
      </c>
      <c r="D1884" s="6" t="str">
        <f>"202125022901"</f>
        <v>202125022901</v>
      </c>
      <c r="E1884" s="10" t="s">
        <v>20</v>
      </c>
      <c r="F1884" s="6" t="s">
        <v>16</v>
      </c>
      <c r="G1884" s="8">
        <v>71.25</v>
      </c>
      <c r="H1884" s="6"/>
    </row>
    <row r="1885" spans="1:8">
      <c r="A1885" s="5">
        <v>1737</v>
      </c>
      <c r="B1885" s="6" t="str">
        <f>"黄婷"</f>
        <v>黄婷</v>
      </c>
      <c r="C1885" s="6" t="str">
        <f t="shared" si="90"/>
        <v>女</v>
      </c>
      <c r="D1885" s="6" t="str">
        <f>"202125022902"</f>
        <v>202125022902</v>
      </c>
      <c r="E1885" s="10" t="s">
        <v>20</v>
      </c>
      <c r="F1885" s="6" t="s">
        <v>16</v>
      </c>
      <c r="G1885" s="8">
        <v>77.3</v>
      </c>
      <c r="H1885" s="6"/>
    </row>
    <row r="1886" spans="1:8">
      <c r="A1886" s="5">
        <v>1746</v>
      </c>
      <c r="B1886" s="6" t="str">
        <f>"刘佩"</f>
        <v>刘佩</v>
      </c>
      <c r="C1886" s="6" t="str">
        <f t="shared" si="90"/>
        <v>女</v>
      </c>
      <c r="D1886" s="6" t="str">
        <f>"202125022903"</f>
        <v>202125022903</v>
      </c>
      <c r="E1886" s="10" t="s">
        <v>20</v>
      </c>
      <c r="F1886" s="6" t="s">
        <v>16</v>
      </c>
      <c r="G1886" s="8">
        <v>62.85</v>
      </c>
      <c r="H1886" s="6"/>
    </row>
    <row r="1887" spans="1:8">
      <c r="A1887" s="5">
        <v>1719</v>
      </c>
      <c r="B1887" s="6" t="str">
        <f>"康金林"</f>
        <v>康金林</v>
      </c>
      <c r="C1887" s="6" t="str">
        <f t="shared" si="90"/>
        <v>女</v>
      </c>
      <c r="D1887" s="6" t="str">
        <f>"202125022904"</f>
        <v>202125022904</v>
      </c>
      <c r="E1887" s="10" t="s">
        <v>20</v>
      </c>
      <c r="F1887" s="6" t="s">
        <v>16</v>
      </c>
      <c r="G1887" s="8">
        <v>64.650000000000006</v>
      </c>
      <c r="H1887" s="6"/>
    </row>
    <row r="1888" spans="1:8">
      <c r="A1888" s="5">
        <v>1735</v>
      </c>
      <c r="B1888" s="6" t="str">
        <f>"银涌"</f>
        <v>银涌</v>
      </c>
      <c r="C1888" s="6" t="str">
        <f t="shared" si="90"/>
        <v>女</v>
      </c>
      <c r="D1888" s="6" t="str">
        <f>"202125022905"</f>
        <v>202125022905</v>
      </c>
      <c r="E1888" s="10" t="s">
        <v>20</v>
      </c>
      <c r="F1888" s="6" t="s">
        <v>16</v>
      </c>
      <c r="G1888" s="8">
        <v>65.3</v>
      </c>
      <c r="H1888" s="6"/>
    </row>
    <row r="1889" spans="1:8">
      <c r="A1889" s="5">
        <v>1742</v>
      </c>
      <c r="B1889" s="6" t="str">
        <f>"颜乐"</f>
        <v>颜乐</v>
      </c>
      <c r="C1889" s="6" t="str">
        <f t="shared" si="90"/>
        <v>女</v>
      </c>
      <c r="D1889" s="6" t="str">
        <f>"202125022906"</f>
        <v>202125022906</v>
      </c>
      <c r="E1889" s="10" t="s">
        <v>20</v>
      </c>
      <c r="F1889" s="6" t="s">
        <v>16</v>
      </c>
      <c r="G1889" s="8">
        <v>0</v>
      </c>
      <c r="H1889" s="9">
        <v>1</v>
      </c>
    </row>
    <row r="1890" spans="1:8">
      <c r="A1890" s="5">
        <v>1724</v>
      </c>
      <c r="B1890" s="6" t="str">
        <f>"陈琳"</f>
        <v>陈琳</v>
      </c>
      <c r="C1890" s="6" t="str">
        <f t="shared" si="90"/>
        <v>女</v>
      </c>
      <c r="D1890" s="6" t="str">
        <f>"202125022907"</f>
        <v>202125022907</v>
      </c>
      <c r="E1890" s="10" t="s">
        <v>20</v>
      </c>
      <c r="F1890" s="6" t="s">
        <v>16</v>
      </c>
      <c r="G1890" s="8">
        <v>70.099999999999994</v>
      </c>
      <c r="H1890" s="6"/>
    </row>
    <row r="1891" spans="1:8">
      <c r="A1891" s="5">
        <v>1720</v>
      </c>
      <c r="B1891" s="6" t="str">
        <f>"郑津津"</f>
        <v>郑津津</v>
      </c>
      <c r="C1891" s="6" t="str">
        <f t="shared" si="90"/>
        <v>女</v>
      </c>
      <c r="D1891" s="6" t="str">
        <f>"202125022908"</f>
        <v>202125022908</v>
      </c>
      <c r="E1891" s="10" t="s">
        <v>20</v>
      </c>
      <c r="F1891" s="6" t="s">
        <v>16</v>
      </c>
      <c r="G1891" s="8">
        <v>73.599999999999994</v>
      </c>
      <c r="H1891" s="6"/>
    </row>
    <row r="1892" spans="1:8">
      <c r="A1892" s="5">
        <v>1722</v>
      </c>
      <c r="B1892" s="6" t="str">
        <f>"黄诗宇"</f>
        <v>黄诗宇</v>
      </c>
      <c r="C1892" s="6" t="str">
        <f t="shared" si="90"/>
        <v>女</v>
      </c>
      <c r="D1892" s="6" t="str">
        <f>"202125022909"</f>
        <v>202125022909</v>
      </c>
      <c r="E1892" s="10" t="s">
        <v>20</v>
      </c>
      <c r="F1892" s="6" t="s">
        <v>16</v>
      </c>
      <c r="G1892" s="8">
        <v>67.5</v>
      </c>
      <c r="H1892" s="6"/>
    </row>
    <row r="1893" spans="1:8">
      <c r="A1893" s="5">
        <v>1721</v>
      </c>
      <c r="B1893" s="6" t="str">
        <f>"杨园平"</f>
        <v>杨园平</v>
      </c>
      <c r="C1893" s="6" t="str">
        <f t="shared" si="90"/>
        <v>女</v>
      </c>
      <c r="D1893" s="6" t="str">
        <f>"202125022910"</f>
        <v>202125022910</v>
      </c>
      <c r="E1893" s="10" t="s">
        <v>20</v>
      </c>
      <c r="F1893" s="6" t="s">
        <v>16</v>
      </c>
      <c r="G1893" s="8">
        <v>70.5</v>
      </c>
      <c r="H1893" s="6"/>
    </row>
    <row r="1894" spans="1:8">
      <c r="A1894" s="5">
        <v>1749</v>
      </c>
      <c r="B1894" s="6" t="str">
        <f>"王文婷"</f>
        <v>王文婷</v>
      </c>
      <c r="C1894" s="6" t="str">
        <f t="shared" si="90"/>
        <v>女</v>
      </c>
      <c r="D1894" s="6" t="str">
        <f>"202125022911"</f>
        <v>202125022911</v>
      </c>
      <c r="E1894" s="10" t="s">
        <v>20</v>
      </c>
      <c r="F1894" s="6" t="s">
        <v>16</v>
      </c>
      <c r="G1894" s="8">
        <v>80.400000000000006</v>
      </c>
      <c r="H1894" s="6"/>
    </row>
    <row r="1895" spans="1:8">
      <c r="A1895" s="5">
        <v>1728</v>
      </c>
      <c r="B1895" s="6" t="str">
        <f>"吕小香"</f>
        <v>吕小香</v>
      </c>
      <c r="C1895" s="6" t="str">
        <f t="shared" si="90"/>
        <v>女</v>
      </c>
      <c r="D1895" s="6" t="str">
        <f>"202125022912"</f>
        <v>202125022912</v>
      </c>
      <c r="E1895" s="10" t="s">
        <v>20</v>
      </c>
      <c r="F1895" s="6" t="s">
        <v>16</v>
      </c>
      <c r="G1895" s="8">
        <v>0</v>
      </c>
      <c r="H1895" s="9">
        <v>1</v>
      </c>
    </row>
    <row r="1896" spans="1:8">
      <c r="A1896" s="5">
        <v>1723</v>
      </c>
      <c r="B1896" s="6" t="str">
        <f>"龙康"</f>
        <v>龙康</v>
      </c>
      <c r="C1896" s="6" t="str">
        <f>"男"</f>
        <v>男</v>
      </c>
      <c r="D1896" s="6" t="str">
        <f>"202125022913"</f>
        <v>202125022913</v>
      </c>
      <c r="E1896" s="10" t="s">
        <v>20</v>
      </c>
      <c r="F1896" s="6" t="s">
        <v>16</v>
      </c>
      <c r="G1896" s="8">
        <v>67.25</v>
      </c>
      <c r="H1896" s="6"/>
    </row>
    <row r="1897" spans="1:8">
      <c r="A1897" s="5">
        <v>1718</v>
      </c>
      <c r="B1897" s="6" t="str">
        <f>"李敏"</f>
        <v>李敏</v>
      </c>
      <c r="C1897" s="6" t="str">
        <f t="shared" ref="C1897:C1904" si="91">"女"</f>
        <v>女</v>
      </c>
      <c r="D1897" s="6" t="str">
        <f>"202125022914"</f>
        <v>202125022914</v>
      </c>
      <c r="E1897" s="10" t="s">
        <v>20</v>
      </c>
      <c r="F1897" s="6" t="s">
        <v>16</v>
      </c>
      <c r="G1897" s="8">
        <v>69.05</v>
      </c>
      <c r="H1897" s="6"/>
    </row>
    <row r="1898" spans="1:8">
      <c r="A1898" s="5">
        <v>1743</v>
      </c>
      <c r="B1898" s="6" t="str">
        <f>"林敏"</f>
        <v>林敏</v>
      </c>
      <c r="C1898" s="6" t="str">
        <f t="shared" si="91"/>
        <v>女</v>
      </c>
      <c r="D1898" s="6" t="str">
        <f>"202125022915"</f>
        <v>202125022915</v>
      </c>
      <c r="E1898" s="10" t="s">
        <v>20</v>
      </c>
      <c r="F1898" s="6" t="s">
        <v>16</v>
      </c>
      <c r="G1898" s="8">
        <v>69.2</v>
      </c>
      <c r="H1898" s="6"/>
    </row>
    <row r="1899" spans="1:8">
      <c r="A1899" s="5">
        <v>1731</v>
      </c>
      <c r="B1899" s="6" t="str">
        <f>"刘宇婷"</f>
        <v>刘宇婷</v>
      </c>
      <c r="C1899" s="6" t="str">
        <f t="shared" si="91"/>
        <v>女</v>
      </c>
      <c r="D1899" s="6" t="str">
        <f>"202125022916"</f>
        <v>202125022916</v>
      </c>
      <c r="E1899" s="10" t="s">
        <v>20</v>
      </c>
      <c r="F1899" s="6" t="s">
        <v>16</v>
      </c>
      <c r="G1899" s="8">
        <v>57.65</v>
      </c>
      <c r="H1899" s="6"/>
    </row>
    <row r="1900" spans="1:8">
      <c r="A1900" s="5">
        <v>1726</v>
      </c>
      <c r="B1900" s="6" t="str">
        <f>"罗年洁"</f>
        <v>罗年洁</v>
      </c>
      <c r="C1900" s="6" t="str">
        <f t="shared" si="91"/>
        <v>女</v>
      </c>
      <c r="D1900" s="6" t="str">
        <f>"202125022917"</f>
        <v>202125022917</v>
      </c>
      <c r="E1900" s="10" t="s">
        <v>20</v>
      </c>
      <c r="F1900" s="6" t="s">
        <v>16</v>
      </c>
      <c r="G1900" s="8">
        <v>73.099999999999994</v>
      </c>
      <c r="H1900" s="6"/>
    </row>
    <row r="1901" spans="1:8">
      <c r="A1901" s="5">
        <v>1745</v>
      </c>
      <c r="B1901" s="6" t="str">
        <f>"易丽峥"</f>
        <v>易丽峥</v>
      </c>
      <c r="C1901" s="6" t="str">
        <f t="shared" si="91"/>
        <v>女</v>
      </c>
      <c r="D1901" s="6" t="str">
        <f>"202125022918"</f>
        <v>202125022918</v>
      </c>
      <c r="E1901" s="10" t="s">
        <v>20</v>
      </c>
      <c r="F1901" s="6" t="s">
        <v>16</v>
      </c>
      <c r="G1901" s="8">
        <v>61.7</v>
      </c>
      <c r="H1901" s="6"/>
    </row>
    <row r="1902" spans="1:8">
      <c r="A1902" s="5">
        <v>1739</v>
      </c>
      <c r="B1902" s="6" t="str">
        <f>"黄赛美"</f>
        <v>黄赛美</v>
      </c>
      <c r="C1902" s="6" t="str">
        <f t="shared" si="91"/>
        <v>女</v>
      </c>
      <c r="D1902" s="6" t="str">
        <f>"202125022919"</f>
        <v>202125022919</v>
      </c>
      <c r="E1902" s="10" t="s">
        <v>20</v>
      </c>
      <c r="F1902" s="6" t="s">
        <v>16</v>
      </c>
      <c r="G1902" s="8">
        <v>56.85</v>
      </c>
      <c r="H1902" s="6"/>
    </row>
    <row r="1903" spans="1:8">
      <c r="A1903" s="5">
        <v>1747</v>
      </c>
      <c r="B1903" s="6" t="str">
        <f>"罗鸿"</f>
        <v>罗鸿</v>
      </c>
      <c r="C1903" s="6" t="str">
        <f t="shared" si="91"/>
        <v>女</v>
      </c>
      <c r="D1903" s="6" t="str">
        <f>"202125022920"</f>
        <v>202125022920</v>
      </c>
      <c r="E1903" s="10" t="s">
        <v>20</v>
      </c>
      <c r="F1903" s="6" t="s">
        <v>16</v>
      </c>
      <c r="G1903" s="8">
        <v>69.95</v>
      </c>
      <c r="H1903" s="6"/>
    </row>
    <row r="1904" spans="1:8">
      <c r="A1904" s="5">
        <v>1712</v>
      </c>
      <c r="B1904" s="6" t="str">
        <f>"刘映琴"</f>
        <v>刘映琴</v>
      </c>
      <c r="C1904" s="6" t="str">
        <f t="shared" si="91"/>
        <v>女</v>
      </c>
      <c r="D1904" s="6" t="str">
        <f>"202125022921"</f>
        <v>202125022921</v>
      </c>
      <c r="E1904" s="10" t="s">
        <v>20</v>
      </c>
      <c r="F1904" s="6" t="s">
        <v>16</v>
      </c>
      <c r="G1904" s="8">
        <v>63.6</v>
      </c>
      <c r="H1904" s="6"/>
    </row>
    <row r="1905" spans="1:8">
      <c r="A1905" s="5">
        <v>1710</v>
      </c>
      <c r="B1905" s="6" t="str">
        <f>"唐化"</f>
        <v>唐化</v>
      </c>
      <c r="C1905" s="6" t="str">
        <f>"男"</f>
        <v>男</v>
      </c>
      <c r="D1905" s="6" t="str">
        <f>"202125022922"</f>
        <v>202125022922</v>
      </c>
      <c r="E1905" s="10" t="s">
        <v>20</v>
      </c>
      <c r="F1905" s="6" t="s">
        <v>16</v>
      </c>
      <c r="G1905" s="8">
        <v>65.5</v>
      </c>
      <c r="H1905" s="6"/>
    </row>
    <row r="1906" spans="1:8">
      <c r="A1906" s="5">
        <v>1715</v>
      </c>
      <c r="B1906" s="6" t="str">
        <f>"唐婷"</f>
        <v>唐婷</v>
      </c>
      <c r="C1906" s="6" t="str">
        <f t="shared" ref="C1906:C1915" si="92">"女"</f>
        <v>女</v>
      </c>
      <c r="D1906" s="6" t="str">
        <f>"202125022923"</f>
        <v>202125022923</v>
      </c>
      <c r="E1906" s="10" t="s">
        <v>20</v>
      </c>
      <c r="F1906" s="6" t="s">
        <v>16</v>
      </c>
      <c r="G1906" s="8">
        <v>72.400000000000006</v>
      </c>
      <c r="H1906" s="6"/>
    </row>
    <row r="1907" spans="1:8">
      <c r="A1907" s="5">
        <v>1729</v>
      </c>
      <c r="B1907" s="6" t="str">
        <f>"孟城城"</f>
        <v>孟城城</v>
      </c>
      <c r="C1907" s="6" t="str">
        <f t="shared" si="92"/>
        <v>女</v>
      </c>
      <c r="D1907" s="6" t="str">
        <f>"202125022924"</f>
        <v>202125022924</v>
      </c>
      <c r="E1907" s="10" t="s">
        <v>20</v>
      </c>
      <c r="F1907" s="6" t="s">
        <v>16</v>
      </c>
      <c r="G1907" s="8">
        <v>70.650000000000006</v>
      </c>
      <c r="H1907" s="6"/>
    </row>
    <row r="1908" spans="1:8">
      <c r="A1908" s="5">
        <v>1741</v>
      </c>
      <c r="B1908" s="6" t="str">
        <f>"何文凤"</f>
        <v>何文凤</v>
      </c>
      <c r="C1908" s="6" t="str">
        <f t="shared" si="92"/>
        <v>女</v>
      </c>
      <c r="D1908" s="6" t="str">
        <f>"202125022925"</f>
        <v>202125022925</v>
      </c>
      <c r="E1908" s="10" t="s">
        <v>20</v>
      </c>
      <c r="F1908" s="6" t="s">
        <v>16</v>
      </c>
      <c r="G1908" s="8">
        <v>47.05</v>
      </c>
      <c r="H1908" s="6"/>
    </row>
    <row r="1909" spans="1:8">
      <c r="A1909" s="5">
        <v>1733</v>
      </c>
      <c r="B1909" s="6" t="str">
        <f>"杨伶俐"</f>
        <v>杨伶俐</v>
      </c>
      <c r="C1909" s="6" t="str">
        <f t="shared" si="92"/>
        <v>女</v>
      </c>
      <c r="D1909" s="6" t="str">
        <f>"202125022926"</f>
        <v>202125022926</v>
      </c>
      <c r="E1909" s="10" t="s">
        <v>20</v>
      </c>
      <c r="F1909" s="6" t="s">
        <v>16</v>
      </c>
      <c r="G1909" s="8">
        <v>75.150000000000006</v>
      </c>
      <c r="H1909" s="6"/>
    </row>
    <row r="1910" spans="1:8">
      <c r="A1910" s="5">
        <v>1732</v>
      </c>
      <c r="B1910" s="6" t="str">
        <f>"卿飞云"</f>
        <v>卿飞云</v>
      </c>
      <c r="C1910" s="6" t="str">
        <f t="shared" si="92"/>
        <v>女</v>
      </c>
      <c r="D1910" s="6" t="str">
        <f>"202125022927"</f>
        <v>202125022927</v>
      </c>
      <c r="E1910" s="10" t="s">
        <v>20</v>
      </c>
      <c r="F1910" s="6" t="s">
        <v>16</v>
      </c>
      <c r="G1910" s="8">
        <v>74.099999999999994</v>
      </c>
      <c r="H1910" s="6"/>
    </row>
    <row r="1911" spans="1:8">
      <c r="A1911" s="5">
        <v>1750</v>
      </c>
      <c r="B1911" s="6" t="str">
        <f>"邱舒媛"</f>
        <v>邱舒媛</v>
      </c>
      <c r="C1911" s="6" t="str">
        <f t="shared" si="92"/>
        <v>女</v>
      </c>
      <c r="D1911" s="6" t="str">
        <f>"202125022928"</f>
        <v>202125022928</v>
      </c>
      <c r="E1911" s="10" t="s">
        <v>20</v>
      </c>
      <c r="F1911" s="6" t="s">
        <v>16</v>
      </c>
      <c r="G1911" s="8">
        <v>42.55</v>
      </c>
      <c r="H1911" s="6"/>
    </row>
    <row r="1912" spans="1:8">
      <c r="A1912" s="5">
        <v>1717</v>
      </c>
      <c r="B1912" s="6" t="str">
        <f>"袁冰洁"</f>
        <v>袁冰洁</v>
      </c>
      <c r="C1912" s="6" t="str">
        <f t="shared" si="92"/>
        <v>女</v>
      </c>
      <c r="D1912" s="6" t="str">
        <f>"202125022929"</f>
        <v>202125022929</v>
      </c>
      <c r="E1912" s="10" t="s">
        <v>20</v>
      </c>
      <c r="F1912" s="6" t="s">
        <v>16</v>
      </c>
      <c r="G1912" s="8">
        <v>69.2</v>
      </c>
      <c r="H1912" s="6"/>
    </row>
    <row r="1913" spans="1:8">
      <c r="A1913" s="5">
        <v>1711</v>
      </c>
      <c r="B1913" s="6" t="str">
        <f>"胡彩云"</f>
        <v>胡彩云</v>
      </c>
      <c r="C1913" s="6" t="str">
        <f t="shared" si="92"/>
        <v>女</v>
      </c>
      <c r="D1913" s="6" t="str">
        <f>"202125022930"</f>
        <v>202125022930</v>
      </c>
      <c r="E1913" s="10" t="s">
        <v>20</v>
      </c>
      <c r="F1913" s="6" t="s">
        <v>16</v>
      </c>
      <c r="G1913" s="8">
        <v>67.95</v>
      </c>
      <c r="H1913" s="6"/>
    </row>
    <row r="1914" spans="1:8">
      <c r="A1914" s="5">
        <v>1713</v>
      </c>
      <c r="B1914" s="6" t="str">
        <f>"林莉萍"</f>
        <v>林莉萍</v>
      </c>
      <c r="C1914" s="6" t="str">
        <f t="shared" si="92"/>
        <v>女</v>
      </c>
      <c r="D1914" s="6" t="str">
        <f>"202125023001"</f>
        <v>202125023001</v>
      </c>
      <c r="E1914" s="10" t="s">
        <v>20</v>
      </c>
      <c r="F1914" s="6" t="s">
        <v>16</v>
      </c>
      <c r="G1914" s="8">
        <v>65.45</v>
      </c>
      <c r="H1914" s="6"/>
    </row>
    <row r="1915" spans="1:8">
      <c r="A1915" s="5">
        <v>1727</v>
      </c>
      <c r="B1915" s="6" t="str">
        <f>"胡俊"</f>
        <v>胡俊</v>
      </c>
      <c r="C1915" s="6" t="str">
        <f t="shared" si="92"/>
        <v>女</v>
      </c>
      <c r="D1915" s="6" t="str">
        <f>"202125023002"</f>
        <v>202125023002</v>
      </c>
      <c r="E1915" s="10" t="s">
        <v>20</v>
      </c>
      <c r="F1915" s="6" t="s">
        <v>16</v>
      </c>
      <c r="G1915" s="8">
        <v>71.45</v>
      </c>
      <c r="H1915" s="6"/>
    </row>
    <row r="1916" spans="1:8">
      <c r="A1916" s="5">
        <v>1744</v>
      </c>
      <c r="B1916" s="6" t="str">
        <f>"唐度利"</f>
        <v>唐度利</v>
      </c>
      <c r="C1916" s="6" t="str">
        <f>"男"</f>
        <v>男</v>
      </c>
      <c r="D1916" s="6" t="str">
        <f>"202125023003"</f>
        <v>202125023003</v>
      </c>
      <c r="E1916" s="10" t="s">
        <v>20</v>
      </c>
      <c r="F1916" s="6" t="s">
        <v>16</v>
      </c>
      <c r="G1916" s="8">
        <v>0</v>
      </c>
      <c r="H1916" s="9">
        <v>1</v>
      </c>
    </row>
    <row r="1917" spans="1:8">
      <c r="A1917" s="5">
        <v>1736</v>
      </c>
      <c r="B1917" s="6" t="str">
        <f>"林婷"</f>
        <v>林婷</v>
      </c>
      <c r="C1917" s="6" t="str">
        <f>"女"</f>
        <v>女</v>
      </c>
      <c r="D1917" s="6" t="str">
        <f>"202125023004"</f>
        <v>202125023004</v>
      </c>
      <c r="E1917" s="10" t="s">
        <v>20</v>
      </c>
      <c r="F1917" s="6" t="s">
        <v>16</v>
      </c>
      <c r="G1917" s="8">
        <v>69.8</v>
      </c>
      <c r="H1917" s="6"/>
    </row>
    <row r="1918" spans="1:8">
      <c r="A1918" s="5">
        <v>1714</v>
      </c>
      <c r="B1918" s="6" t="str">
        <f>"周姿帆"</f>
        <v>周姿帆</v>
      </c>
      <c r="C1918" s="6" t="str">
        <f>"男"</f>
        <v>男</v>
      </c>
      <c r="D1918" s="6" t="str">
        <f>"202125023005"</f>
        <v>202125023005</v>
      </c>
      <c r="E1918" s="10" t="s">
        <v>20</v>
      </c>
      <c r="F1918" s="6" t="s">
        <v>16</v>
      </c>
      <c r="G1918" s="8">
        <v>68.150000000000006</v>
      </c>
      <c r="H1918" s="6"/>
    </row>
    <row r="1919" spans="1:8">
      <c r="A1919" s="5">
        <v>1730</v>
      </c>
      <c r="B1919" s="6" t="str">
        <f>"彭垚"</f>
        <v>彭垚</v>
      </c>
      <c r="C1919" s="6" t="str">
        <f t="shared" ref="C1919:C1950" si="93">"女"</f>
        <v>女</v>
      </c>
      <c r="D1919" s="6" t="str">
        <f>"202125023006"</f>
        <v>202125023006</v>
      </c>
      <c r="E1919" s="10" t="s">
        <v>20</v>
      </c>
      <c r="F1919" s="6" t="s">
        <v>16</v>
      </c>
      <c r="G1919" s="8">
        <v>67.349999999999994</v>
      </c>
      <c r="H1919" s="6"/>
    </row>
    <row r="1920" spans="1:8">
      <c r="A1920" s="5">
        <v>1725</v>
      </c>
      <c r="B1920" s="6" t="str">
        <f>"姚紫薇"</f>
        <v>姚紫薇</v>
      </c>
      <c r="C1920" s="6" t="str">
        <f t="shared" si="93"/>
        <v>女</v>
      </c>
      <c r="D1920" s="6" t="str">
        <f>"202125023007"</f>
        <v>202125023007</v>
      </c>
      <c r="E1920" s="10" t="s">
        <v>20</v>
      </c>
      <c r="F1920" s="6" t="s">
        <v>16</v>
      </c>
      <c r="G1920" s="8">
        <v>63</v>
      </c>
      <c r="H1920" s="6"/>
    </row>
    <row r="1921" spans="1:8">
      <c r="A1921" s="5">
        <v>1748</v>
      </c>
      <c r="B1921" s="6" t="str">
        <f>"曾友红"</f>
        <v>曾友红</v>
      </c>
      <c r="C1921" s="6" t="str">
        <f t="shared" si="93"/>
        <v>女</v>
      </c>
      <c r="D1921" s="6" t="str">
        <f>"202125023008"</f>
        <v>202125023008</v>
      </c>
      <c r="E1921" s="10" t="s">
        <v>20</v>
      </c>
      <c r="F1921" s="6" t="s">
        <v>16</v>
      </c>
      <c r="G1921" s="8">
        <v>74.95</v>
      </c>
      <c r="H1921" s="6"/>
    </row>
    <row r="1922" spans="1:8">
      <c r="A1922" s="5">
        <v>1716</v>
      </c>
      <c r="B1922" s="6" t="str">
        <f>"曾莹"</f>
        <v>曾莹</v>
      </c>
      <c r="C1922" s="6" t="str">
        <f t="shared" si="93"/>
        <v>女</v>
      </c>
      <c r="D1922" s="6" t="str">
        <f>"202125023009"</f>
        <v>202125023009</v>
      </c>
      <c r="E1922" s="10" t="s">
        <v>20</v>
      </c>
      <c r="F1922" s="6" t="s">
        <v>16</v>
      </c>
      <c r="G1922" s="8">
        <v>63.2</v>
      </c>
      <c r="H1922" s="6"/>
    </row>
    <row r="1923" spans="1:8">
      <c r="A1923" s="5">
        <v>1740</v>
      </c>
      <c r="B1923" s="6" t="str">
        <f>"唐婷"</f>
        <v>唐婷</v>
      </c>
      <c r="C1923" s="6" t="str">
        <f t="shared" si="93"/>
        <v>女</v>
      </c>
      <c r="D1923" s="6" t="str">
        <f>"202125023010"</f>
        <v>202125023010</v>
      </c>
      <c r="E1923" s="10" t="s">
        <v>20</v>
      </c>
      <c r="F1923" s="6" t="s">
        <v>16</v>
      </c>
      <c r="G1923" s="8">
        <v>66.900000000000006</v>
      </c>
      <c r="H1923" s="6"/>
    </row>
    <row r="1924" spans="1:8">
      <c r="A1924" s="5">
        <v>1734</v>
      </c>
      <c r="B1924" s="6" t="str">
        <f>"陈海燕"</f>
        <v>陈海燕</v>
      </c>
      <c r="C1924" s="6" t="str">
        <f t="shared" si="93"/>
        <v>女</v>
      </c>
      <c r="D1924" s="6" t="str">
        <f>"202125023011"</f>
        <v>202125023011</v>
      </c>
      <c r="E1924" s="10" t="s">
        <v>20</v>
      </c>
      <c r="F1924" s="6" t="s">
        <v>16</v>
      </c>
      <c r="G1924" s="8">
        <v>60.85</v>
      </c>
      <c r="H1924" s="6"/>
    </row>
    <row r="1925" spans="1:8">
      <c r="A1925" s="5">
        <v>1752</v>
      </c>
      <c r="B1925" s="6" t="str">
        <f>"李诗"</f>
        <v>李诗</v>
      </c>
      <c r="C1925" s="6" t="str">
        <f t="shared" si="93"/>
        <v>女</v>
      </c>
      <c r="D1925" s="6" t="str">
        <f>"202126023012"</f>
        <v>202126023012</v>
      </c>
      <c r="E1925" s="10" t="s">
        <v>20</v>
      </c>
      <c r="F1925" s="6" t="s">
        <v>17</v>
      </c>
      <c r="G1925" s="8">
        <v>70.099999999999994</v>
      </c>
      <c r="H1925" s="6"/>
    </row>
    <row r="1926" spans="1:8">
      <c r="A1926" s="5">
        <v>1753</v>
      </c>
      <c r="B1926" s="6" t="str">
        <f>"吴梅"</f>
        <v>吴梅</v>
      </c>
      <c r="C1926" s="6" t="str">
        <f t="shared" si="93"/>
        <v>女</v>
      </c>
      <c r="D1926" s="6" t="str">
        <f>"202126023013"</f>
        <v>202126023013</v>
      </c>
      <c r="E1926" s="10" t="s">
        <v>20</v>
      </c>
      <c r="F1926" s="6" t="s">
        <v>17</v>
      </c>
      <c r="G1926" s="8">
        <v>63.6</v>
      </c>
      <c r="H1926" s="6"/>
    </row>
    <row r="1927" spans="1:8">
      <c r="A1927" s="5">
        <v>1751</v>
      </c>
      <c r="B1927" s="6" t="str">
        <f>"旷明凤"</f>
        <v>旷明凤</v>
      </c>
      <c r="C1927" s="6" t="str">
        <f t="shared" si="93"/>
        <v>女</v>
      </c>
      <c r="D1927" s="6" t="str">
        <f>"202126023014"</f>
        <v>202126023014</v>
      </c>
      <c r="E1927" s="10" t="s">
        <v>20</v>
      </c>
      <c r="F1927" s="6" t="s">
        <v>17</v>
      </c>
      <c r="G1927" s="8">
        <v>78.8</v>
      </c>
      <c r="H1927" s="6"/>
    </row>
    <row r="1928" spans="1:8">
      <c r="A1928" s="5">
        <v>1828</v>
      </c>
      <c r="B1928" s="6" t="str">
        <f>"朱敏"</f>
        <v>朱敏</v>
      </c>
      <c r="C1928" s="6" t="str">
        <f t="shared" si="93"/>
        <v>女</v>
      </c>
      <c r="D1928" s="6" t="str">
        <f>"202127012202"</f>
        <v>202127012202</v>
      </c>
      <c r="E1928" s="10" t="s">
        <v>27</v>
      </c>
      <c r="F1928" s="6" t="s">
        <v>9</v>
      </c>
      <c r="G1928" s="8">
        <v>37.200000000000003</v>
      </c>
      <c r="H1928" s="6"/>
    </row>
    <row r="1929" spans="1:8">
      <c r="A1929" s="5">
        <v>1869</v>
      </c>
      <c r="B1929" s="6" t="str">
        <f>"郭丽君"</f>
        <v>郭丽君</v>
      </c>
      <c r="C1929" s="6" t="str">
        <f t="shared" si="93"/>
        <v>女</v>
      </c>
      <c r="D1929" s="6" t="str">
        <f>"202127012203"</f>
        <v>202127012203</v>
      </c>
      <c r="E1929" s="10" t="s">
        <v>27</v>
      </c>
      <c r="F1929" s="6" t="s">
        <v>9</v>
      </c>
      <c r="G1929" s="8">
        <v>62.7</v>
      </c>
      <c r="H1929" s="6"/>
    </row>
    <row r="1930" spans="1:8">
      <c r="A1930" s="5">
        <v>1879</v>
      </c>
      <c r="B1930" s="6" t="str">
        <f>"张纯"</f>
        <v>张纯</v>
      </c>
      <c r="C1930" s="6" t="str">
        <f t="shared" si="93"/>
        <v>女</v>
      </c>
      <c r="D1930" s="6" t="str">
        <f>"202127012204"</f>
        <v>202127012204</v>
      </c>
      <c r="E1930" s="10" t="s">
        <v>27</v>
      </c>
      <c r="F1930" s="6" t="s">
        <v>9</v>
      </c>
      <c r="G1930" s="8">
        <v>65.849999999999994</v>
      </c>
      <c r="H1930" s="6"/>
    </row>
    <row r="1931" spans="1:8">
      <c r="A1931" s="5">
        <v>1875</v>
      </c>
      <c r="B1931" s="6" t="str">
        <f>"朱玉玲"</f>
        <v>朱玉玲</v>
      </c>
      <c r="C1931" s="6" t="str">
        <f t="shared" si="93"/>
        <v>女</v>
      </c>
      <c r="D1931" s="6" t="str">
        <f>"202127012205"</f>
        <v>202127012205</v>
      </c>
      <c r="E1931" s="10" t="s">
        <v>27</v>
      </c>
      <c r="F1931" s="6" t="s">
        <v>9</v>
      </c>
      <c r="G1931" s="8">
        <v>52.65</v>
      </c>
      <c r="H1931" s="6"/>
    </row>
    <row r="1932" spans="1:8">
      <c r="A1932" s="5">
        <v>2165</v>
      </c>
      <c r="B1932" s="6" t="str">
        <f>"刘碧"</f>
        <v>刘碧</v>
      </c>
      <c r="C1932" s="6" t="str">
        <f t="shared" si="93"/>
        <v>女</v>
      </c>
      <c r="D1932" s="6" t="str">
        <f>"202127012206"</f>
        <v>202127012206</v>
      </c>
      <c r="E1932" s="10" t="s">
        <v>27</v>
      </c>
      <c r="F1932" s="6" t="s">
        <v>9</v>
      </c>
      <c r="G1932" s="8">
        <v>67.95</v>
      </c>
      <c r="H1932" s="6"/>
    </row>
    <row r="1933" spans="1:8">
      <c r="A1933" s="5">
        <v>2332</v>
      </c>
      <c r="B1933" s="6" t="str">
        <f>"曾佳珍"</f>
        <v>曾佳珍</v>
      </c>
      <c r="C1933" s="6" t="str">
        <f t="shared" si="93"/>
        <v>女</v>
      </c>
      <c r="D1933" s="6" t="str">
        <f>"202127012207"</f>
        <v>202127012207</v>
      </c>
      <c r="E1933" s="10" t="s">
        <v>27</v>
      </c>
      <c r="F1933" s="6" t="s">
        <v>9</v>
      </c>
      <c r="G1933" s="8">
        <v>63.95</v>
      </c>
      <c r="H1933" s="6"/>
    </row>
    <row r="1934" spans="1:8">
      <c r="A1934" s="5">
        <v>2275</v>
      </c>
      <c r="B1934" s="6" t="str">
        <f>"刘飘"</f>
        <v>刘飘</v>
      </c>
      <c r="C1934" s="6" t="str">
        <f t="shared" si="93"/>
        <v>女</v>
      </c>
      <c r="D1934" s="6" t="str">
        <f>"202127012208"</f>
        <v>202127012208</v>
      </c>
      <c r="E1934" s="10" t="s">
        <v>27</v>
      </c>
      <c r="F1934" s="6" t="s">
        <v>9</v>
      </c>
      <c r="G1934" s="8">
        <v>54.85</v>
      </c>
      <c r="H1934" s="6"/>
    </row>
    <row r="1935" spans="1:8">
      <c r="A1935" s="5">
        <v>1961</v>
      </c>
      <c r="B1935" s="6" t="str">
        <f>"段昌梅"</f>
        <v>段昌梅</v>
      </c>
      <c r="C1935" s="6" t="str">
        <f t="shared" si="93"/>
        <v>女</v>
      </c>
      <c r="D1935" s="6" t="str">
        <f>"202127012209"</f>
        <v>202127012209</v>
      </c>
      <c r="E1935" s="10" t="s">
        <v>27</v>
      </c>
      <c r="F1935" s="6" t="s">
        <v>9</v>
      </c>
      <c r="G1935" s="8">
        <v>58.8</v>
      </c>
      <c r="H1935" s="6"/>
    </row>
    <row r="1936" spans="1:8">
      <c r="A1936" s="5">
        <v>2443</v>
      </c>
      <c r="B1936" s="6" t="str">
        <f>"陈东南"</f>
        <v>陈东南</v>
      </c>
      <c r="C1936" s="6" t="str">
        <f t="shared" si="93"/>
        <v>女</v>
      </c>
      <c r="D1936" s="6" t="str">
        <f>"202127012210"</f>
        <v>202127012210</v>
      </c>
      <c r="E1936" s="10" t="s">
        <v>27</v>
      </c>
      <c r="F1936" s="6" t="s">
        <v>9</v>
      </c>
      <c r="G1936" s="8">
        <v>56.65</v>
      </c>
      <c r="H1936" s="6"/>
    </row>
    <row r="1937" spans="1:8">
      <c r="A1937" s="5">
        <v>1758</v>
      </c>
      <c r="B1937" s="6" t="str">
        <f>"吴凡"</f>
        <v>吴凡</v>
      </c>
      <c r="C1937" s="6" t="str">
        <f t="shared" si="93"/>
        <v>女</v>
      </c>
      <c r="D1937" s="6" t="str">
        <f>"202127012211"</f>
        <v>202127012211</v>
      </c>
      <c r="E1937" s="10" t="s">
        <v>27</v>
      </c>
      <c r="F1937" s="6" t="s">
        <v>9</v>
      </c>
      <c r="G1937" s="8">
        <v>53.1</v>
      </c>
      <c r="H1937" s="6"/>
    </row>
    <row r="1938" spans="1:8">
      <c r="A1938" s="5">
        <v>2166</v>
      </c>
      <c r="B1938" s="6" t="str">
        <f>"罗慧芳"</f>
        <v>罗慧芳</v>
      </c>
      <c r="C1938" s="6" t="str">
        <f t="shared" si="93"/>
        <v>女</v>
      </c>
      <c r="D1938" s="6" t="str">
        <f>"202127012212"</f>
        <v>202127012212</v>
      </c>
      <c r="E1938" s="10" t="s">
        <v>27</v>
      </c>
      <c r="F1938" s="6" t="s">
        <v>9</v>
      </c>
      <c r="G1938" s="8">
        <v>54.75</v>
      </c>
      <c r="H1938" s="6"/>
    </row>
    <row r="1939" spans="1:8">
      <c r="A1939" s="5">
        <v>2212</v>
      </c>
      <c r="B1939" s="6" t="str">
        <f>"王玲"</f>
        <v>王玲</v>
      </c>
      <c r="C1939" s="6" t="str">
        <f t="shared" si="93"/>
        <v>女</v>
      </c>
      <c r="D1939" s="6" t="str">
        <f>"202127012213"</f>
        <v>202127012213</v>
      </c>
      <c r="E1939" s="10" t="s">
        <v>27</v>
      </c>
      <c r="F1939" s="6" t="s">
        <v>9</v>
      </c>
      <c r="G1939" s="8">
        <v>46.25</v>
      </c>
      <c r="H1939" s="6"/>
    </row>
    <row r="1940" spans="1:8">
      <c r="A1940" s="5">
        <v>2097</v>
      </c>
      <c r="B1940" s="6" t="str">
        <f>"汪玲娇"</f>
        <v>汪玲娇</v>
      </c>
      <c r="C1940" s="6" t="str">
        <f t="shared" si="93"/>
        <v>女</v>
      </c>
      <c r="D1940" s="6" t="str">
        <f>"202127012214"</f>
        <v>202127012214</v>
      </c>
      <c r="E1940" s="10" t="s">
        <v>27</v>
      </c>
      <c r="F1940" s="6" t="s">
        <v>9</v>
      </c>
      <c r="G1940" s="8">
        <v>64.75</v>
      </c>
      <c r="H1940" s="6"/>
    </row>
    <row r="1941" spans="1:8">
      <c r="A1941" s="5">
        <v>2278</v>
      </c>
      <c r="B1941" s="6" t="str">
        <f>"段诗翩"</f>
        <v>段诗翩</v>
      </c>
      <c r="C1941" s="6" t="str">
        <f t="shared" si="93"/>
        <v>女</v>
      </c>
      <c r="D1941" s="6" t="str">
        <f>"202127012215"</f>
        <v>202127012215</v>
      </c>
      <c r="E1941" s="10" t="s">
        <v>27</v>
      </c>
      <c r="F1941" s="6" t="s">
        <v>9</v>
      </c>
      <c r="G1941" s="8">
        <v>53.25</v>
      </c>
      <c r="H1941" s="6"/>
    </row>
    <row r="1942" spans="1:8">
      <c r="A1942" s="5">
        <v>2362</v>
      </c>
      <c r="B1942" s="6" t="str">
        <f>"张欣"</f>
        <v>张欣</v>
      </c>
      <c r="C1942" s="6" t="str">
        <f t="shared" si="93"/>
        <v>女</v>
      </c>
      <c r="D1942" s="6" t="str">
        <f>"202127012216"</f>
        <v>202127012216</v>
      </c>
      <c r="E1942" s="10" t="s">
        <v>27</v>
      </c>
      <c r="F1942" s="6" t="s">
        <v>9</v>
      </c>
      <c r="G1942" s="8">
        <v>67.349999999999994</v>
      </c>
      <c r="H1942" s="6"/>
    </row>
    <row r="1943" spans="1:8">
      <c r="A1943" s="5">
        <v>2427</v>
      </c>
      <c r="B1943" s="6" t="str">
        <f>"林灿"</f>
        <v>林灿</v>
      </c>
      <c r="C1943" s="6" t="str">
        <f t="shared" si="93"/>
        <v>女</v>
      </c>
      <c r="D1943" s="6" t="str">
        <f>"202127012217"</f>
        <v>202127012217</v>
      </c>
      <c r="E1943" s="10" t="s">
        <v>27</v>
      </c>
      <c r="F1943" s="6" t="s">
        <v>9</v>
      </c>
      <c r="G1943" s="8">
        <v>71</v>
      </c>
      <c r="H1943" s="6"/>
    </row>
    <row r="1944" spans="1:8">
      <c r="A1944" s="5">
        <v>2324</v>
      </c>
      <c r="B1944" s="6" t="str">
        <f>"张韵"</f>
        <v>张韵</v>
      </c>
      <c r="C1944" s="6" t="str">
        <f t="shared" si="93"/>
        <v>女</v>
      </c>
      <c r="D1944" s="6" t="str">
        <f>"202127012218"</f>
        <v>202127012218</v>
      </c>
      <c r="E1944" s="10" t="s">
        <v>27</v>
      </c>
      <c r="F1944" s="6" t="s">
        <v>9</v>
      </c>
      <c r="G1944" s="8">
        <v>52.8</v>
      </c>
      <c r="H1944" s="6"/>
    </row>
    <row r="1945" spans="1:8">
      <c r="A1945" s="5">
        <v>2441</v>
      </c>
      <c r="B1945" s="6" t="str">
        <f>"朱美娟"</f>
        <v>朱美娟</v>
      </c>
      <c r="C1945" s="6" t="str">
        <f t="shared" si="93"/>
        <v>女</v>
      </c>
      <c r="D1945" s="6" t="str">
        <f>"202127012219"</f>
        <v>202127012219</v>
      </c>
      <c r="E1945" s="10" t="s">
        <v>27</v>
      </c>
      <c r="F1945" s="6" t="s">
        <v>9</v>
      </c>
      <c r="G1945" s="8">
        <v>56.95</v>
      </c>
      <c r="H1945" s="6"/>
    </row>
    <row r="1946" spans="1:8">
      <c r="A1946" s="5">
        <v>2126</v>
      </c>
      <c r="B1946" s="6" t="str">
        <f>"张姿"</f>
        <v>张姿</v>
      </c>
      <c r="C1946" s="6" t="str">
        <f t="shared" si="93"/>
        <v>女</v>
      </c>
      <c r="D1946" s="6" t="str">
        <f>"202127012220"</f>
        <v>202127012220</v>
      </c>
      <c r="E1946" s="10" t="s">
        <v>27</v>
      </c>
      <c r="F1946" s="6" t="s">
        <v>9</v>
      </c>
      <c r="G1946" s="8">
        <v>56.05</v>
      </c>
      <c r="H1946" s="6"/>
    </row>
    <row r="1947" spans="1:8">
      <c r="A1947" s="5">
        <v>2115</v>
      </c>
      <c r="B1947" s="6" t="str">
        <f>"姚婷"</f>
        <v>姚婷</v>
      </c>
      <c r="C1947" s="6" t="str">
        <f t="shared" si="93"/>
        <v>女</v>
      </c>
      <c r="D1947" s="6" t="str">
        <f>"202127012221"</f>
        <v>202127012221</v>
      </c>
      <c r="E1947" s="10" t="s">
        <v>27</v>
      </c>
      <c r="F1947" s="6" t="s">
        <v>9</v>
      </c>
      <c r="G1947" s="8">
        <v>58.5</v>
      </c>
      <c r="H1947" s="6"/>
    </row>
    <row r="1948" spans="1:8">
      <c r="A1948" s="5">
        <v>2026</v>
      </c>
      <c r="B1948" s="6" t="str">
        <f>"肖紫归"</f>
        <v>肖紫归</v>
      </c>
      <c r="C1948" s="6" t="str">
        <f t="shared" si="93"/>
        <v>女</v>
      </c>
      <c r="D1948" s="6" t="str">
        <f>"202127012222"</f>
        <v>202127012222</v>
      </c>
      <c r="E1948" s="10" t="s">
        <v>27</v>
      </c>
      <c r="F1948" s="6" t="s">
        <v>9</v>
      </c>
      <c r="G1948" s="8">
        <v>51.9</v>
      </c>
      <c r="H1948" s="6"/>
    </row>
    <row r="1949" spans="1:8">
      <c r="A1949" s="5">
        <v>2220</v>
      </c>
      <c r="B1949" s="6" t="str">
        <f>"李薇"</f>
        <v>李薇</v>
      </c>
      <c r="C1949" s="6" t="str">
        <f t="shared" si="93"/>
        <v>女</v>
      </c>
      <c r="D1949" s="6" t="str">
        <f>"202127012223"</f>
        <v>202127012223</v>
      </c>
      <c r="E1949" s="10" t="s">
        <v>27</v>
      </c>
      <c r="F1949" s="6" t="s">
        <v>9</v>
      </c>
      <c r="G1949" s="8">
        <v>75.599999999999994</v>
      </c>
      <c r="H1949" s="6"/>
    </row>
    <row r="1950" spans="1:8">
      <c r="A1950" s="5">
        <v>1861</v>
      </c>
      <c r="B1950" s="6" t="str">
        <f>"陈汝维"</f>
        <v>陈汝维</v>
      </c>
      <c r="C1950" s="6" t="str">
        <f t="shared" si="93"/>
        <v>女</v>
      </c>
      <c r="D1950" s="6" t="str">
        <f>"202127012224"</f>
        <v>202127012224</v>
      </c>
      <c r="E1950" s="10" t="s">
        <v>27</v>
      </c>
      <c r="F1950" s="6" t="s">
        <v>9</v>
      </c>
      <c r="G1950" s="8">
        <v>56.85</v>
      </c>
      <c r="H1950" s="6"/>
    </row>
    <row r="1951" spans="1:8">
      <c r="A1951" s="5">
        <v>2122</v>
      </c>
      <c r="B1951" s="6" t="str">
        <f>"唐小叶"</f>
        <v>唐小叶</v>
      </c>
      <c r="C1951" s="6" t="str">
        <f t="shared" ref="C1951:C1982" si="94">"女"</f>
        <v>女</v>
      </c>
      <c r="D1951" s="6" t="str">
        <f>"202127012225"</f>
        <v>202127012225</v>
      </c>
      <c r="E1951" s="10" t="s">
        <v>27</v>
      </c>
      <c r="F1951" s="6" t="s">
        <v>9</v>
      </c>
      <c r="G1951" s="8">
        <v>48.75</v>
      </c>
      <c r="H1951" s="6"/>
    </row>
    <row r="1952" spans="1:8">
      <c r="A1952" s="5">
        <v>2316</v>
      </c>
      <c r="B1952" s="6" t="str">
        <f>"成思琪"</f>
        <v>成思琪</v>
      </c>
      <c r="C1952" s="6" t="str">
        <f t="shared" si="94"/>
        <v>女</v>
      </c>
      <c r="D1952" s="6" t="str">
        <f>"202127012226"</f>
        <v>202127012226</v>
      </c>
      <c r="E1952" s="10" t="s">
        <v>27</v>
      </c>
      <c r="F1952" s="6" t="s">
        <v>9</v>
      </c>
      <c r="G1952" s="8">
        <v>55.05</v>
      </c>
      <c r="H1952" s="6"/>
    </row>
    <row r="1953" spans="1:8">
      <c r="A1953" s="5">
        <v>2047</v>
      </c>
      <c r="B1953" s="6" t="str">
        <f>"姚丹"</f>
        <v>姚丹</v>
      </c>
      <c r="C1953" s="6" t="str">
        <f t="shared" si="94"/>
        <v>女</v>
      </c>
      <c r="D1953" s="6" t="str">
        <f>"202127012227"</f>
        <v>202127012227</v>
      </c>
      <c r="E1953" s="10" t="s">
        <v>27</v>
      </c>
      <c r="F1953" s="6" t="s">
        <v>9</v>
      </c>
      <c r="G1953" s="8">
        <v>61.7</v>
      </c>
      <c r="H1953" s="6"/>
    </row>
    <row r="1954" spans="1:8">
      <c r="A1954" s="5">
        <v>1832</v>
      </c>
      <c r="B1954" s="6" t="str">
        <f>"匡文卉"</f>
        <v>匡文卉</v>
      </c>
      <c r="C1954" s="6" t="str">
        <f t="shared" si="94"/>
        <v>女</v>
      </c>
      <c r="D1954" s="6" t="str">
        <f>"202127012228"</f>
        <v>202127012228</v>
      </c>
      <c r="E1954" s="10" t="s">
        <v>27</v>
      </c>
      <c r="F1954" s="6" t="s">
        <v>9</v>
      </c>
      <c r="G1954" s="8">
        <v>0</v>
      </c>
      <c r="H1954" s="9">
        <v>1</v>
      </c>
    </row>
    <row r="1955" spans="1:8">
      <c r="A1955" s="5">
        <v>1951</v>
      </c>
      <c r="B1955" s="6" t="str">
        <f>"焦平平"</f>
        <v>焦平平</v>
      </c>
      <c r="C1955" s="6" t="str">
        <f t="shared" si="94"/>
        <v>女</v>
      </c>
      <c r="D1955" s="6" t="str">
        <f>"202127012229"</f>
        <v>202127012229</v>
      </c>
      <c r="E1955" s="10" t="s">
        <v>27</v>
      </c>
      <c r="F1955" s="6" t="s">
        <v>9</v>
      </c>
      <c r="G1955" s="8">
        <v>58.55</v>
      </c>
      <c r="H1955" s="6"/>
    </row>
    <row r="1956" spans="1:8">
      <c r="A1956" s="5">
        <v>1784</v>
      </c>
      <c r="B1956" s="6" t="str">
        <f>"曾桂蓉"</f>
        <v>曾桂蓉</v>
      </c>
      <c r="C1956" s="6" t="str">
        <f t="shared" si="94"/>
        <v>女</v>
      </c>
      <c r="D1956" s="6" t="str">
        <f>"202127012230"</f>
        <v>202127012230</v>
      </c>
      <c r="E1956" s="10" t="s">
        <v>27</v>
      </c>
      <c r="F1956" s="6" t="s">
        <v>9</v>
      </c>
      <c r="G1956" s="8">
        <v>60.2</v>
      </c>
      <c r="H1956" s="6"/>
    </row>
    <row r="1957" spans="1:8">
      <c r="A1957" s="5">
        <v>2176</v>
      </c>
      <c r="B1957" s="6" t="str">
        <f>"胡婕"</f>
        <v>胡婕</v>
      </c>
      <c r="C1957" s="6" t="str">
        <f t="shared" si="94"/>
        <v>女</v>
      </c>
      <c r="D1957" s="6" t="str">
        <f>"202127012301"</f>
        <v>202127012301</v>
      </c>
      <c r="E1957" s="10" t="s">
        <v>27</v>
      </c>
      <c r="F1957" s="6" t="s">
        <v>9</v>
      </c>
      <c r="G1957" s="8">
        <v>55.6</v>
      </c>
      <c r="H1957" s="6"/>
    </row>
    <row r="1958" spans="1:8">
      <c r="A1958" s="5">
        <v>1892</v>
      </c>
      <c r="B1958" s="6" t="str">
        <f>"危家峥"</f>
        <v>危家峥</v>
      </c>
      <c r="C1958" s="6" t="str">
        <f t="shared" si="94"/>
        <v>女</v>
      </c>
      <c r="D1958" s="6" t="str">
        <f>"202127012302"</f>
        <v>202127012302</v>
      </c>
      <c r="E1958" s="10" t="s">
        <v>27</v>
      </c>
      <c r="F1958" s="6" t="s">
        <v>9</v>
      </c>
      <c r="G1958" s="8">
        <v>52.9</v>
      </c>
      <c r="H1958" s="6"/>
    </row>
    <row r="1959" spans="1:8">
      <c r="A1959" s="5">
        <v>2223</v>
      </c>
      <c r="B1959" s="6" t="str">
        <f>"刘鸿柳"</f>
        <v>刘鸿柳</v>
      </c>
      <c r="C1959" s="6" t="str">
        <f t="shared" si="94"/>
        <v>女</v>
      </c>
      <c r="D1959" s="6" t="str">
        <f>"202127012303"</f>
        <v>202127012303</v>
      </c>
      <c r="E1959" s="10" t="s">
        <v>27</v>
      </c>
      <c r="F1959" s="6" t="s">
        <v>9</v>
      </c>
      <c r="G1959" s="8">
        <v>55.1</v>
      </c>
      <c r="H1959" s="6"/>
    </row>
    <row r="1960" spans="1:8">
      <c r="A1960" s="5">
        <v>1769</v>
      </c>
      <c r="B1960" s="6" t="str">
        <f>"黄晨"</f>
        <v>黄晨</v>
      </c>
      <c r="C1960" s="6" t="str">
        <f t="shared" si="94"/>
        <v>女</v>
      </c>
      <c r="D1960" s="6" t="str">
        <f>"202127012304"</f>
        <v>202127012304</v>
      </c>
      <c r="E1960" s="10" t="s">
        <v>27</v>
      </c>
      <c r="F1960" s="6" t="s">
        <v>9</v>
      </c>
      <c r="G1960" s="8">
        <v>58.95</v>
      </c>
      <c r="H1960" s="6"/>
    </row>
    <row r="1961" spans="1:8">
      <c r="A1961" s="5">
        <v>2040</v>
      </c>
      <c r="B1961" s="6" t="str">
        <f>"尹秋艳"</f>
        <v>尹秋艳</v>
      </c>
      <c r="C1961" s="6" t="str">
        <f t="shared" si="94"/>
        <v>女</v>
      </c>
      <c r="D1961" s="6" t="str">
        <f>"202127012305"</f>
        <v>202127012305</v>
      </c>
      <c r="E1961" s="10" t="s">
        <v>27</v>
      </c>
      <c r="F1961" s="6" t="s">
        <v>9</v>
      </c>
      <c r="G1961" s="8">
        <v>66.3</v>
      </c>
      <c r="H1961" s="6"/>
    </row>
    <row r="1962" spans="1:8">
      <c r="A1962" s="5">
        <v>1962</v>
      </c>
      <c r="B1962" s="6" t="str">
        <f>"郑灵芝"</f>
        <v>郑灵芝</v>
      </c>
      <c r="C1962" s="6" t="str">
        <f t="shared" si="94"/>
        <v>女</v>
      </c>
      <c r="D1962" s="6" t="str">
        <f>"202127012306"</f>
        <v>202127012306</v>
      </c>
      <c r="E1962" s="10" t="s">
        <v>27</v>
      </c>
      <c r="F1962" s="6" t="s">
        <v>9</v>
      </c>
      <c r="G1962" s="8">
        <v>55.25</v>
      </c>
      <c r="H1962" s="6"/>
    </row>
    <row r="1963" spans="1:8">
      <c r="A1963" s="5">
        <v>1987</v>
      </c>
      <c r="B1963" s="6" t="str">
        <f>"沈婷"</f>
        <v>沈婷</v>
      </c>
      <c r="C1963" s="6" t="str">
        <f t="shared" si="94"/>
        <v>女</v>
      </c>
      <c r="D1963" s="6" t="str">
        <f>"202127012307"</f>
        <v>202127012307</v>
      </c>
      <c r="E1963" s="10" t="s">
        <v>27</v>
      </c>
      <c r="F1963" s="6" t="s">
        <v>9</v>
      </c>
      <c r="G1963" s="8">
        <v>65.650000000000006</v>
      </c>
      <c r="H1963" s="6"/>
    </row>
    <row r="1964" spans="1:8">
      <c r="A1964" s="5">
        <v>2374</v>
      </c>
      <c r="B1964" s="6" t="str">
        <f>"刘慧敏"</f>
        <v>刘慧敏</v>
      </c>
      <c r="C1964" s="6" t="str">
        <f t="shared" si="94"/>
        <v>女</v>
      </c>
      <c r="D1964" s="6" t="str">
        <f>"202127012308"</f>
        <v>202127012308</v>
      </c>
      <c r="E1964" s="10" t="s">
        <v>27</v>
      </c>
      <c r="F1964" s="6" t="s">
        <v>9</v>
      </c>
      <c r="G1964" s="8">
        <v>46.5</v>
      </c>
      <c r="H1964" s="6"/>
    </row>
    <row r="1965" spans="1:8">
      <c r="A1965" s="5">
        <v>2260</v>
      </c>
      <c r="B1965" s="6" t="str">
        <f>"黄琪鑫"</f>
        <v>黄琪鑫</v>
      </c>
      <c r="C1965" s="6" t="str">
        <f t="shared" si="94"/>
        <v>女</v>
      </c>
      <c r="D1965" s="6" t="str">
        <f>"202127012309"</f>
        <v>202127012309</v>
      </c>
      <c r="E1965" s="10" t="s">
        <v>27</v>
      </c>
      <c r="F1965" s="6" t="s">
        <v>9</v>
      </c>
      <c r="G1965" s="8">
        <v>50.2</v>
      </c>
      <c r="H1965" s="6"/>
    </row>
    <row r="1966" spans="1:8">
      <c r="A1966" s="5">
        <v>2104</v>
      </c>
      <c r="B1966" s="6" t="str">
        <f>"杨霞"</f>
        <v>杨霞</v>
      </c>
      <c r="C1966" s="6" t="str">
        <f t="shared" si="94"/>
        <v>女</v>
      </c>
      <c r="D1966" s="6" t="str">
        <f>"202127012310"</f>
        <v>202127012310</v>
      </c>
      <c r="E1966" s="10" t="s">
        <v>27</v>
      </c>
      <c r="F1966" s="6" t="s">
        <v>9</v>
      </c>
      <c r="G1966" s="8">
        <v>49.45</v>
      </c>
      <c r="H1966" s="6"/>
    </row>
    <row r="1967" spans="1:8">
      <c r="A1967" s="5">
        <v>2273</v>
      </c>
      <c r="B1967" s="6" t="str">
        <f>"李婧婧"</f>
        <v>李婧婧</v>
      </c>
      <c r="C1967" s="6" t="str">
        <f t="shared" si="94"/>
        <v>女</v>
      </c>
      <c r="D1967" s="6" t="str">
        <f>"202127012311"</f>
        <v>202127012311</v>
      </c>
      <c r="E1967" s="10" t="s">
        <v>27</v>
      </c>
      <c r="F1967" s="6" t="s">
        <v>9</v>
      </c>
      <c r="G1967" s="8">
        <v>38.65</v>
      </c>
      <c r="H1967" s="6"/>
    </row>
    <row r="1968" spans="1:8">
      <c r="A1968" s="5">
        <v>2155</v>
      </c>
      <c r="B1968" s="6" t="str">
        <f>"周娟"</f>
        <v>周娟</v>
      </c>
      <c r="C1968" s="6" t="str">
        <f t="shared" si="94"/>
        <v>女</v>
      </c>
      <c r="D1968" s="6" t="str">
        <f>"202127012312"</f>
        <v>202127012312</v>
      </c>
      <c r="E1968" s="10" t="s">
        <v>27</v>
      </c>
      <c r="F1968" s="6" t="s">
        <v>9</v>
      </c>
      <c r="G1968" s="8">
        <v>63.55</v>
      </c>
      <c r="H1968" s="6"/>
    </row>
    <row r="1969" spans="1:8">
      <c r="A1969" s="5">
        <v>2119</v>
      </c>
      <c r="B1969" s="6" t="str">
        <f>"漆昭燚"</f>
        <v>漆昭燚</v>
      </c>
      <c r="C1969" s="6" t="str">
        <f t="shared" si="94"/>
        <v>女</v>
      </c>
      <c r="D1969" s="6" t="str">
        <f>"202127012313"</f>
        <v>202127012313</v>
      </c>
      <c r="E1969" s="10" t="s">
        <v>27</v>
      </c>
      <c r="F1969" s="6" t="s">
        <v>9</v>
      </c>
      <c r="G1969" s="8">
        <v>59.1</v>
      </c>
      <c r="H1969" s="6"/>
    </row>
    <row r="1970" spans="1:8">
      <c r="A1970" s="5">
        <v>2035</v>
      </c>
      <c r="B1970" s="6" t="str">
        <f>"谢平平"</f>
        <v>谢平平</v>
      </c>
      <c r="C1970" s="6" t="str">
        <f t="shared" si="94"/>
        <v>女</v>
      </c>
      <c r="D1970" s="6" t="str">
        <f>"202127012314"</f>
        <v>202127012314</v>
      </c>
      <c r="E1970" s="10" t="s">
        <v>27</v>
      </c>
      <c r="F1970" s="6" t="s">
        <v>9</v>
      </c>
      <c r="G1970" s="8">
        <v>55</v>
      </c>
      <c r="H1970" s="6"/>
    </row>
    <row r="1971" spans="1:8">
      <c r="A1971" s="5">
        <v>1778</v>
      </c>
      <c r="B1971" s="6" t="str">
        <f>"沈蓓徽"</f>
        <v>沈蓓徽</v>
      </c>
      <c r="C1971" s="6" t="str">
        <f t="shared" si="94"/>
        <v>女</v>
      </c>
      <c r="D1971" s="6" t="str">
        <f>"202127012315"</f>
        <v>202127012315</v>
      </c>
      <c r="E1971" s="10" t="s">
        <v>27</v>
      </c>
      <c r="F1971" s="6" t="s">
        <v>9</v>
      </c>
      <c r="G1971" s="8">
        <v>49.25</v>
      </c>
      <c r="H1971" s="6"/>
    </row>
    <row r="1972" spans="1:8">
      <c r="A1972" s="5">
        <v>2239</v>
      </c>
      <c r="B1972" s="6" t="str">
        <f>"张红飞"</f>
        <v>张红飞</v>
      </c>
      <c r="C1972" s="6" t="str">
        <f t="shared" si="94"/>
        <v>女</v>
      </c>
      <c r="D1972" s="6" t="str">
        <f>"202127012316"</f>
        <v>202127012316</v>
      </c>
      <c r="E1972" s="10" t="s">
        <v>27</v>
      </c>
      <c r="F1972" s="6" t="s">
        <v>9</v>
      </c>
      <c r="G1972" s="8">
        <v>43.6</v>
      </c>
      <c r="H1972" s="6"/>
    </row>
    <row r="1973" spans="1:8">
      <c r="A1973" s="5">
        <v>2068</v>
      </c>
      <c r="B1973" s="6" t="str">
        <f>"杨晶"</f>
        <v>杨晶</v>
      </c>
      <c r="C1973" s="6" t="str">
        <f t="shared" si="94"/>
        <v>女</v>
      </c>
      <c r="D1973" s="6" t="str">
        <f>"202127012317"</f>
        <v>202127012317</v>
      </c>
      <c r="E1973" s="10" t="s">
        <v>27</v>
      </c>
      <c r="F1973" s="6" t="s">
        <v>9</v>
      </c>
      <c r="G1973" s="8">
        <v>55</v>
      </c>
      <c r="H1973" s="6"/>
    </row>
    <row r="1974" spans="1:8">
      <c r="A1974" s="5">
        <v>1996</v>
      </c>
      <c r="B1974" s="6" t="str">
        <f>"刘雅丽"</f>
        <v>刘雅丽</v>
      </c>
      <c r="C1974" s="6" t="str">
        <f t="shared" si="94"/>
        <v>女</v>
      </c>
      <c r="D1974" s="6" t="str">
        <f>"202127012318"</f>
        <v>202127012318</v>
      </c>
      <c r="E1974" s="10" t="s">
        <v>27</v>
      </c>
      <c r="F1974" s="6" t="s">
        <v>9</v>
      </c>
      <c r="G1974" s="8">
        <v>53.85</v>
      </c>
      <c r="H1974" s="6"/>
    </row>
    <row r="1975" spans="1:8">
      <c r="A1975" s="5">
        <v>2142</v>
      </c>
      <c r="B1975" s="6" t="str">
        <f>"邓莹莹"</f>
        <v>邓莹莹</v>
      </c>
      <c r="C1975" s="6" t="str">
        <f t="shared" si="94"/>
        <v>女</v>
      </c>
      <c r="D1975" s="6" t="str">
        <f>"202127012319"</f>
        <v>202127012319</v>
      </c>
      <c r="E1975" s="10" t="s">
        <v>27</v>
      </c>
      <c r="F1975" s="6" t="s">
        <v>9</v>
      </c>
      <c r="G1975" s="8">
        <v>62.1</v>
      </c>
      <c r="H1975" s="6"/>
    </row>
    <row r="1976" spans="1:8">
      <c r="A1976" s="5">
        <v>2075</v>
      </c>
      <c r="B1976" s="6" t="str">
        <f>"左颜"</f>
        <v>左颜</v>
      </c>
      <c r="C1976" s="6" t="str">
        <f t="shared" si="94"/>
        <v>女</v>
      </c>
      <c r="D1976" s="6" t="str">
        <f>"202127012320"</f>
        <v>202127012320</v>
      </c>
      <c r="E1976" s="10" t="s">
        <v>27</v>
      </c>
      <c r="F1976" s="6" t="s">
        <v>9</v>
      </c>
      <c r="G1976" s="8">
        <v>56.5</v>
      </c>
      <c r="H1976" s="6"/>
    </row>
    <row r="1977" spans="1:8">
      <c r="A1977" s="5">
        <v>1895</v>
      </c>
      <c r="B1977" s="6" t="str">
        <f>"何娜梅"</f>
        <v>何娜梅</v>
      </c>
      <c r="C1977" s="6" t="str">
        <f t="shared" si="94"/>
        <v>女</v>
      </c>
      <c r="D1977" s="6" t="str">
        <f>"202127012321"</f>
        <v>202127012321</v>
      </c>
      <c r="E1977" s="10" t="s">
        <v>27</v>
      </c>
      <c r="F1977" s="6" t="s">
        <v>9</v>
      </c>
      <c r="G1977" s="8">
        <v>54.5</v>
      </c>
      <c r="H1977" s="6"/>
    </row>
    <row r="1978" spans="1:8">
      <c r="A1978" s="5">
        <v>1841</v>
      </c>
      <c r="B1978" s="6" t="str">
        <f>"戴银凤"</f>
        <v>戴银凤</v>
      </c>
      <c r="C1978" s="6" t="str">
        <f t="shared" si="94"/>
        <v>女</v>
      </c>
      <c r="D1978" s="6" t="str">
        <f>"202127012322"</f>
        <v>202127012322</v>
      </c>
      <c r="E1978" s="10" t="s">
        <v>27</v>
      </c>
      <c r="F1978" s="6" t="s">
        <v>9</v>
      </c>
      <c r="G1978" s="8">
        <v>48.65</v>
      </c>
      <c r="H1978" s="6"/>
    </row>
    <row r="1979" spans="1:8">
      <c r="A1979" s="5">
        <v>2197</v>
      </c>
      <c r="B1979" s="6" t="str">
        <f>"胡婷玉"</f>
        <v>胡婷玉</v>
      </c>
      <c r="C1979" s="6" t="str">
        <f t="shared" si="94"/>
        <v>女</v>
      </c>
      <c r="D1979" s="6" t="str">
        <f>"202127012323"</f>
        <v>202127012323</v>
      </c>
      <c r="E1979" s="10" t="s">
        <v>27</v>
      </c>
      <c r="F1979" s="6" t="s">
        <v>9</v>
      </c>
      <c r="G1979" s="8">
        <v>0</v>
      </c>
      <c r="H1979" s="9">
        <v>1</v>
      </c>
    </row>
    <row r="1980" spans="1:8">
      <c r="A1980" s="5">
        <v>1923</v>
      </c>
      <c r="B1980" s="6" t="str">
        <f>"刘春秀"</f>
        <v>刘春秀</v>
      </c>
      <c r="C1980" s="6" t="str">
        <f t="shared" si="94"/>
        <v>女</v>
      </c>
      <c r="D1980" s="6" t="str">
        <f>"202127012324"</f>
        <v>202127012324</v>
      </c>
      <c r="E1980" s="10" t="s">
        <v>27</v>
      </c>
      <c r="F1980" s="6" t="s">
        <v>9</v>
      </c>
      <c r="G1980" s="8">
        <v>55.1</v>
      </c>
      <c r="H1980" s="6"/>
    </row>
    <row r="1981" spans="1:8">
      <c r="A1981" s="5">
        <v>2070</v>
      </c>
      <c r="B1981" s="6" t="str">
        <f>"毛奕涵"</f>
        <v>毛奕涵</v>
      </c>
      <c r="C1981" s="6" t="str">
        <f t="shared" si="94"/>
        <v>女</v>
      </c>
      <c r="D1981" s="6" t="str">
        <f>"202127012325"</f>
        <v>202127012325</v>
      </c>
      <c r="E1981" s="10" t="s">
        <v>27</v>
      </c>
      <c r="F1981" s="6" t="s">
        <v>9</v>
      </c>
      <c r="G1981" s="8">
        <v>60.65</v>
      </c>
      <c r="H1981" s="6"/>
    </row>
    <row r="1982" spans="1:8">
      <c r="A1982" s="5">
        <v>2110</v>
      </c>
      <c r="B1982" s="6" t="str">
        <f>"田丽兰"</f>
        <v>田丽兰</v>
      </c>
      <c r="C1982" s="6" t="str">
        <f t="shared" si="94"/>
        <v>女</v>
      </c>
      <c r="D1982" s="6" t="str">
        <f>"202127012326"</f>
        <v>202127012326</v>
      </c>
      <c r="E1982" s="10" t="s">
        <v>27</v>
      </c>
      <c r="F1982" s="6" t="s">
        <v>9</v>
      </c>
      <c r="G1982" s="8">
        <v>48.95</v>
      </c>
      <c r="H1982" s="6"/>
    </row>
    <row r="1983" spans="1:8">
      <c r="A1983" s="5">
        <v>2423</v>
      </c>
      <c r="B1983" s="6" t="str">
        <f>"赵光霞"</f>
        <v>赵光霞</v>
      </c>
      <c r="C1983" s="6" t="str">
        <f t="shared" ref="C1983:C1989" si="95">"女"</f>
        <v>女</v>
      </c>
      <c r="D1983" s="6" t="str">
        <f>"202127012327"</f>
        <v>202127012327</v>
      </c>
      <c r="E1983" s="10" t="s">
        <v>27</v>
      </c>
      <c r="F1983" s="6" t="s">
        <v>9</v>
      </c>
      <c r="G1983" s="8">
        <v>59.15</v>
      </c>
      <c r="H1983" s="6"/>
    </row>
    <row r="1984" spans="1:8">
      <c r="A1984" s="5">
        <v>2418</v>
      </c>
      <c r="B1984" s="6" t="str">
        <f>"黄鑫"</f>
        <v>黄鑫</v>
      </c>
      <c r="C1984" s="6" t="str">
        <f t="shared" si="95"/>
        <v>女</v>
      </c>
      <c r="D1984" s="6" t="str">
        <f>"202127012328"</f>
        <v>202127012328</v>
      </c>
      <c r="E1984" s="10" t="s">
        <v>27</v>
      </c>
      <c r="F1984" s="6" t="s">
        <v>9</v>
      </c>
      <c r="G1984" s="8">
        <v>40.5</v>
      </c>
      <c r="H1984" s="6"/>
    </row>
    <row r="1985" spans="1:8">
      <c r="A1985" s="5">
        <v>2202</v>
      </c>
      <c r="B1985" s="6" t="str">
        <f>"刘淑仪"</f>
        <v>刘淑仪</v>
      </c>
      <c r="C1985" s="6" t="str">
        <f t="shared" si="95"/>
        <v>女</v>
      </c>
      <c r="D1985" s="6" t="str">
        <f>"202127012329"</f>
        <v>202127012329</v>
      </c>
      <c r="E1985" s="10" t="s">
        <v>27</v>
      </c>
      <c r="F1985" s="6" t="s">
        <v>9</v>
      </c>
      <c r="G1985" s="8">
        <v>63.25</v>
      </c>
      <c r="H1985" s="6"/>
    </row>
    <row r="1986" spans="1:8">
      <c r="A1986" s="5">
        <v>2328</v>
      </c>
      <c r="B1986" s="6" t="str">
        <f>"肖春红"</f>
        <v>肖春红</v>
      </c>
      <c r="C1986" s="6" t="str">
        <f t="shared" si="95"/>
        <v>女</v>
      </c>
      <c r="D1986" s="6" t="str">
        <f>"202127012330"</f>
        <v>202127012330</v>
      </c>
      <c r="E1986" s="10" t="s">
        <v>27</v>
      </c>
      <c r="F1986" s="6" t="s">
        <v>9</v>
      </c>
      <c r="G1986" s="8">
        <v>49.2</v>
      </c>
      <c r="H1986" s="6"/>
    </row>
    <row r="1987" spans="1:8">
      <c r="A1987" s="5">
        <v>1800</v>
      </c>
      <c r="B1987" s="6" t="str">
        <f>"柳月"</f>
        <v>柳月</v>
      </c>
      <c r="C1987" s="6" t="str">
        <f t="shared" si="95"/>
        <v>女</v>
      </c>
      <c r="D1987" s="6" t="str">
        <f>"202127012401"</f>
        <v>202127012401</v>
      </c>
      <c r="E1987" s="10" t="s">
        <v>27</v>
      </c>
      <c r="F1987" s="6" t="s">
        <v>9</v>
      </c>
      <c r="G1987" s="8">
        <v>52.1</v>
      </c>
      <c r="H1987" s="6"/>
    </row>
    <row r="1988" spans="1:8">
      <c r="A1988" s="5">
        <v>1810</v>
      </c>
      <c r="B1988" s="6" t="str">
        <f>"蒋朵"</f>
        <v>蒋朵</v>
      </c>
      <c r="C1988" s="6" t="str">
        <f t="shared" si="95"/>
        <v>女</v>
      </c>
      <c r="D1988" s="6" t="str">
        <f>"202127012402"</f>
        <v>202127012402</v>
      </c>
      <c r="E1988" s="10" t="s">
        <v>27</v>
      </c>
      <c r="F1988" s="6" t="s">
        <v>9</v>
      </c>
      <c r="G1988" s="8">
        <v>50.55</v>
      </c>
      <c r="H1988" s="6"/>
    </row>
    <row r="1989" spans="1:8">
      <c r="A1989" s="5">
        <v>1760</v>
      </c>
      <c r="B1989" s="6" t="str">
        <f>"王妮妮"</f>
        <v>王妮妮</v>
      </c>
      <c r="C1989" s="6" t="str">
        <f t="shared" si="95"/>
        <v>女</v>
      </c>
      <c r="D1989" s="6" t="str">
        <f>"202127012403"</f>
        <v>202127012403</v>
      </c>
      <c r="E1989" s="10" t="s">
        <v>27</v>
      </c>
      <c r="F1989" s="6" t="s">
        <v>9</v>
      </c>
      <c r="G1989" s="8">
        <v>0</v>
      </c>
      <c r="H1989" s="9">
        <v>1</v>
      </c>
    </row>
    <row r="1990" spans="1:8">
      <c r="A1990" s="5">
        <v>1834</v>
      </c>
      <c r="B1990" s="6" t="str">
        <f>"吕鵾鹏"</f>
        <v>吕鵾鹏</v>
      </c>
      <c r="C1990" s="6" t="str">
        <f>"男"</f>
        <v>男</v>
      </c>
      <c r="D1990" s="6" t="str">
        <f>"202127012404"</f>
        <v>202127012404</v>
      </c>
      <c r="E1990" s="10" t="s">
        <v>27</v>
      </c>
      <c r="F1990" s="6" t="s">
        <v>9</v>
      </c>
      <c r="G1990" s="8">
        <v>65.25</v>
      </c>
      <c r="H1990" s="6"/>
    </row>
    <row r="1991" spans="1:8">
      <c r="A1991" s="5">
        <v>2447</v>
      </c>
      <c r="B1991" s="6" t="str">
        <f>"袁娇"</f>
        <v>袁娇</v>
      </c>
      <c r="C1991" s="6" t="str">
        <f>"女"</f>
        <v>女</v>
      </c>
      <c r="D1991" s="6" t="str">
        <f>"202127012405"</f>
        <v>202127012405</v>
      </c>
      <c r="E1991" s="10" t="s">
        <v>27</v>
      </c>
      <c r="F1991" s="6" t="s">
        <v>9</v>
      </c>
      <c r="G1991" s="8">
        <v>50</v>
      </c>
      <c r="H1991" s="6"/>
    </row>
    <row r="1992" spans="1:8">
      <c r="A1992" s="5">
        <v>2382</v>
      </c>
      <c r="B1992" s="6" t="str">
        <f>"贺杰"</f>
        <v>贺杰</v>
      </c>
      <c r="C1992" s="6" t="str">
        <f>"女"</f>
        <v>女</v>
      </c>
      <c r="D1992" s="6" t="str">
        <f>"202127012406"</f>
        <v>202127012406</v>
      </c>
      <c r="E1992" s="10" t="s">
        <v>27</v>
      </c>
      <c r="F1992" s="6" t="s">
        <v>9</v>
      </c>
      <c r="G1992" s="8">
        <v>63.65</v>
      </c>
      <c r="H1992" s="6"/>
    </row>
    <row r="1993" spans="1:8">
      <c r="A1993" s="5">
        <v>2243</v>
      </c>
      <c r="B1993" s="6" t="str">
        <f>"申晓梅"</f>
        <v>申晓梅</v>
      </c>
      <c r="C1993" s="6" t="str">
        <f>"女"</f>
        <v>女</v>
      </c>
      <c r="D1993" s="6" t="str">
        <f>"202127012407"</f>
        <v>202127012407</v>
      </c>
      <c r="E1993" s="10" t="s">
        <v>27</v>
      </c>
      <c r="F1993" s="6" t="s">
        <v>9</v>
      </c>
      <c r="G1993" s="8">
        <v>58.3</v>
      </c>
      <c r="H1993" s="6"/>
    </row>
    <row r="1994" spans="1:8">
      <c r="A1994" s="5">
        <v>2135</v>
      </c>
      <c r="B1994" s="6" t="str">
        <f>"肖宇鹏"</f>
        <v>肖宇鹏</v>
      </c>
      <c r="C1994" s="6" t="str">
        <f>"男"</f>
        <v>男</v>
      </c>
      <c r="D1994" s="6" t="str">
        <f>"202127012408"</f>
        <v>202127012408</v>
      </c>
      <c r="E1994" s="10" t="s">
        <v>27</v>
      </c>
      <c r="F1994" s="6" t="s">
        <v>9</v>
      </c>
      <c r="G1994" s="8">
        <v>56.75</v>
      </c>
      <c r="H1994" s="6"/>
    </row>
    <row r="1995" spans="1:8">
      <c r="A1995" s="5">
        <v>2314</v>
      </c>
      <c r="B1995" s="6" t="str">
        <f>"张佳"</f>
        <v>张佳</v>
      </c>
      <c r="C1995" s="6" t="str">
        <f t="shared" ref="C1995:C2026" si="96">"女"</f>
        <v>女</v>
      </c>
      <c r="D1995" s="6" t="str">
        <f>"202127012409"</f>
        <v>202127012409</v>
      </c>
      <c r="E1995" s="10" t="s">
        <v>27</v>
      </c>
      <c r="F1995" s="6" t="s">
        <v>9</v>
      </c>
      <c r="G1995" s="8">
        <v>50.75</v>
      </c>
      <c r="H1995" s="6"/>
    </row>
    <row r="1996" spans="1:8">
      <c r="A1996" s="5">
        <v>2226</v>
      </c>
      <c r="B1996" s="6" t="str">
        <f>"周洪波"</f>
        <v>周洪波</v>
      </c>
      <c r="C1996" s="6" t="str">
        <f t="shared" si="96"/>
        <v>女</v>
      </c>
      <c r="D1996" s="6" t="str">
        <f>"202127012410"</f>
        <v>202127012410</v>
      </c>
      <c r="E1996" s="10" t="s">
        <v>27</v>
      </c>
      <c r="F1996" s="6" t="s">
        <v>9</v>
      </c>
      <c r="G1996" s="8">
        <v>65.900000000000006</v>
      </c>
      <c r="H1996" s="6"/>
    </row>
    <row r="1997" spans="1:8">
      <c r="A1997" s="5">
        <v>1997</v>
      </c>
      <c r="B1997" s="6" t="str">
        <f>"彭小兰"</f>
        <v>彭小兰</v>
      </c>
      <c r="C1997" s="6" t="str">
        <f t="shared" si="96"/>
        <v>女</v>
      </c>
      <c r="D1997" s="6" t="str">
        <f>"202127012411"</f>
        <v>202127012411</v>
      </c>
      <c r="E1997" s="10" t="s">
        <v>27</v>
      </c>
      <c r="F1997" s="6" t="s">
        <v>9</v>
      </c>
      <c r="G1997" s="8">
        <v>47.15</v>
      </c>
      <c r="H1997" s="6"/>
    </row>
    <row r="1998" spans="1:8">
      <c r="A1998" s="5">
        <v>2008</v>
      </c>
      <c r="B1998" s="6" t="str">
        <f>"曾文洁"</f>
        <v>曾文洁</v>
      </c>
      <c r="C1998" s="6" t="str">
        <f t="shared" si="96"/>
        <v>女</v>
      </c>
      <c r="D1998" s="6" t="str">
        <f>"202127012412"</f>
        <v>202127012412</v>
      </c>
      <c r="E1998" s="10" t="s">
        <v>27</v>
      </c>
      <c r="F1998" s="6" t="s">
        <v>9</v>
      </c>
      <c r="G1998" s="8">
        <v>62.9</v>
      </c>
      <c r="H1998" s="6"/>
    </row>
    <row r="1999" spans="1:8">
      <c r="A1999" s="5">
        <v>1827</v>
      </c>
      <c r="B1999" s="6" t="str">
        <f>"唐秀"</f>
        <v>唐秀</v>
      </c>
      <c r="C1999" s="6" t="str">
        <f t="shared" si="96"/>
        <v>女</v>
      </c>
      <c r="D1999" s="6" t="str">
        <f>"202127012413"</f>
        <v>202127012413</v>
      </c>
      <c r="E1999" s="10" t="s">
        <v>27</v>
      </c>
      <c r="F1999" s="6" t="s">
        <v>9</v>
      </c>
      <c r="G1999" s="8">
        <v>60.05</v>
      </c>
      <c r="H1999" s="6"/>
    </row>
    <row r="2000" spans="1:8">
      <c r="A2000" s="5">
        <v>1856</v>
      </c>
      <c r="B2000" s="6" t="str">
        <f>"刘宇婷"</f>
        <v>刘宇婷</v>
      </c>
      <c r="C2000" s="6" t="str">
        <f t="shared" si="96"/>
        <v>女</v>
      </c>
      <c r="D2000" s="6" t="str">
        <f>"202127012414"</f>
        <v>202127012414</v>
      </c>
      <c r="E2000" s="10" t="s">
        <v>27</v>
      </c>
      <c r="F2000" s="6" t="s">
        <v>9</v>
      </c>
      <c r="G2000" s="8">
        <v>63.05</v>
      </c>
      <c r="H2000" s="6"/>
    </row>
    <row r="2001" spans="1:8">
      <c r="A2001" s="5">
        <v>1825</v>
      </c>
      <c r="B2001" s="6" t="str">
        <f>"向虹霓"</f>
        <v>向虹霓</v>
      </c>
      <c r="C2001" s="6" t="str">
        <f t="shared" si="96"/>
        <v>女</v>
      </c>
      <c r="D2001" s="6" t="str">
        <f>"202127012415"</f>
        <v>202127012415</v>
      </c>
      <c r="E2001" s="10" t="s">
        <v>27</v>
      </c>
      <c r="F2001" s="6" t="s">
        <v>9</v>
      </c>
      <c r="G2001" s="8">
        <v>0</v>
      </c>
      <c r="H2001" s="9">
        <v>2</v>
      </c>
    </row>
    <row r="2002" spans="1:8">
      <c r="A2002" s="5">
        <v>1928</v>
      </c>
      <c r="B2002" s="6" t="str">
        <f>"黄兴"</f>
        <v>黄兴</v>
      </c>
      <c r="C2002" s="6" t="str">
        <f t="shared" si="96"/>
        <v>女</v>
      </c>
      <c r="D2002" s="6" t="str">
        <f>"202127012416"</f>
        <v>202127012416</v>
      </c>
      <c r="E2002" s="10" t="s">
        <v>27</v>
      </c>
      <c r="F2002" s="6" t="s">
        <v>9</v>
      </c>
      <c r="G2002" s="8">
        <v>40.6</v>
      </c>
      <c r="H2002" s="6"/>
    </row>
    <row r="2003" spans="1:8">
      <c r="A2003" s="5">
        <v>2245</v>
      </c>
      <c r="B2003" s="6" t="str">
        <f>"刘阳"</f>
        <v>刘阳</v>
      </c>
      <c r="C2003" s="6" t="str">
        <f t="shared" si="96"/>
        <v>女</v>
      </c>
      <c r="D2003" s="6" t="str">
        <f>"202127012417"</f>
        <v>202127012417</v>
      </c>
      <c r="E2003" s="10" t="s">
        <v>27</v>
      </c>
      <c r="F2003" s="6" t="s">
        <v>9</v>
      </c>
      <c r="G2003" s="8">
        <v>44.95</v>
      </c>
      <c r="H2003" s="6"/>
    </row>
    <row r="2004" spans="1:8">
      <c r="A2004" s="5">
        <v>2214</v>
      </c>
      <c r="B2004" s="6" t="str">
        <f>"何茜"</f>
        <v>何茜</v>
      </c>
      <c r="C2004" s="6" t="str">
        <f t="shared" si="96"/>
        <v>女</v>
      </c>
      <c r="D2004" s="6" t="str">
        <f>"202127012418"</f>
        <v>202127012418</v>
      </c>
      <c r="E2004" s="10" t="s">
        <v>27</v>
      </c>
      <c r="F2004" s="6" t="s">
        <v>9</v>
      </c>
      <c r="G2004" s="8">
        <v>60.95</v>
      </c>
      <c r="H2004" s="6"/>
    </row>
    <row r="2005" spans="1:8">
      <c r="A2005" s="5">
        <v>2369</v>
      </c>
      <c r="B2005" s="6" t="str">
        <f>"阳书艳"</f>
        <v>阳书艳</v>
      </c>
      <c r="C2005" s="6" t="str">
        <f t="shared" si="96"/>
        <v>女</v>
      </c>
      <c r="D2005" s="6" t="str">
        <f>"202127012419"</f>
        <v>202127012419</v>
      </c>
      <c r="E2005" s="10" t="s">
        <v>27</v>
      </c>
      <c r="F2005" s="6" t="s">
        <v>9</v>
      </c>
      <c r="G2005" s="8">
        <v>0</v>
      </c>
      <c r="H2005" s="9">
        <v>2</v>
      </c>
    </row>
    <row r="2006" spans="1:8">
      <c r="A2006" s="5">
        <v>2266</v>
      </c>
      <c r="B2006" s="6" t="str">
        <f>"孙媚阳"</f>
        <v>孙媚阳</v>
      </c>
      <c r="C2006" s="6" t="str">
        <f t="shared" si="96"/>
        <v>女</v>
      </c>
      <c r="D2006" s="6" t="str">
        <f>"202127012420"</f>
        <v>202127012420</v>
      </c>
      <c r="E2006" s="10" t="s">
        <v>27</v>
      </c>
      <c r="F2006" s="6" t="s">
        <v>9</v>
      </c>
      <c r="G2006" s="8">
        <v>58.5</v>
      </c>
      <c r="H2006" s="6"/>
    </row>
    <row r="2007" spans="1:8">
      <c r="A2007" s="5">
        <v>2326</v>
      </c>
      <c r="B2007" s="6" t="str">
        <f>"吴倩"</f>
        <v>吴倩</v>
      </c>
      <c r="C2007" s="6" t="str">
        <f t="shared" si="96"/>
        <v>女</v>
      </c>
      <c r="D2007" s="6" t="str">
        <f>"202127012421"</f>
        <v>202127012421</v>
      </c>
      <c r="E2007" s="10" t="s">
        <v>27</v>
      </c>
      <c r="F2007" s="6" t="s">
        <v>9</v>
      </c>
      <c r="G2007" s="8">
        <v>59.9</v>
      </c>
      <c r="H2007" s="6"/>
    </row>
    <row r="2008" spans="1:8">
      <c r="A2008" s="5">
        <v>2056</v>
      </c>
      <c r="B2008" s="6" t="str">
        <f>"林莎莎"</f>
        <v>林莎莎</v>
      </c>
      <c r="C2008" s="6" t="str">
        <f t="shared" si="96"/>
        <v>女</v>
      </c>
      <c r="D2008" s="6" t="str">
        <f>"202127012422"</f>
        <v>202127012422</v>
      </c>
      <c r="E2008" s="10" t="s">
        <v>27</v>
      </c>
      <c r="F2008" s="6" t="s">
        <v>9</v>
      </c>
      <c r="G2008" s="8">
        <v>72.650000000000006</v>
      </c>
      <c r="H2008" s="6"/>
    </row>
    <row r="2009" spans="1:8">
      <c r="A2009" s="5">
        <v>2268</v>
      </c>
      <c r="B2009" s="6" t="str">
        <f>"贺卫容"</f>
        <v>贺卫容</v>
      </c>
      <c r="C2009" s="6" t="str">
        <f t="shared" si="96"/>
        <v>女</v>
      </c>
      <c r="D2009" s="6" t="str">
        <f>"202127012423"</f>
        <v>202127012423</v>
      </c>
      <c r="E2009" s="10" t="s">
        <v>27</v>
      </c>
      <c r="F2009" s="6" t="s">
        <v>9</v>
      </c>
      <c r="G2009" s="8">
        <v>62.8</v>
      </c>
      <c r="H2009" s="6"/>
    </row>
    <row r="2010" spans="1:8">
      <c r="A2010" s="5">
        <v>2299</v>
      </c>
      <c r="B2010" s="6" t="str">
        <f>"刘熙尔"</f>
        <v>刘熙尔</v>
      </c>
      <c r="C2010" s="6" t="str">
        <f t="shared" si="96"/>
        <v>女</v>
      </c>
      <c r="D2010" s="6" t="str">
        <f>"202127012424"</f>
        <v>202127012424</v>
      </c>
      <c r="E2010" s="10" t="s">
        <v>27</v>
      </c>
      <c r="F2010" s="6" t="s">
        <v>9</v>
      </c>
      <c r="G2010" s="8">
        <v>62.1</v>
      </c>
      <c r="H2010" s="6"/>
    </row>
    <row r="2011" spans="1:8">
      <c r="A2011" s="5">
        <v>2283</v>
      </c>
      <c r="B2011" s="6" t="str">
        <f>"罗昭斐"</f>
        <v>罗昭斐</v>
      </c>
      <c r="C2011" s="6" t="str">
        <f t="shared" si="96"/>
        <v>女</v>
      </c>
      <c r="D2011" s="6" t="str">
        <f>"202127012425"</f>
        <v>202127012425</v>
      </c>
      <c r="E2011" s="10" t="s">
        <v>27</v>
      </c>
      <c r="F2011" s="6" t="s">
        <v>9</v>
      </c>
      <c r="G2011" s="8">
        <v>57.25</v>
      </c>
      <c r="H2011" s="6"/>
    </row>
    <row r="2012" spans="1:8">
      <c r="A2012" s="5">
        <v>2106</v>
      </c>
      <c r="B2012" s="6" t="str">
        <f>"李舒苑"</f>
        <v>李舒苑</v>
      </c>
      <c r="C2012" s="6" t="str">
        <f t="shared" si="96"/>
        <v>女</v>
      </c>
      <c r="D2012" s="6" t="str">
        <f>"202127012426"</f>
        <v>202127012426</v>
      </c>
      <c r="E2012" s="10" t="s">
        <v>27</v>
      </c>
      <c r="F2012" s="6" t="s">
        <v>9</v>
      </c>
      <c r="G2012" s="8">
        <v>60.3</v>
      </c>
      <c r="H2012" s="6"/>
    </row>
    <row r="2013" spans="1:8">
      <c r="A2013" s="5">
        <v>2151</v>
      </c>
      <c r="B2013" s="6" t="str">
        <f>"张霜"</f>
        <v>张霜</v>
      </c>
      <c r="C2013" s="6" t="str">
        <f t="shared" si="96"/>
        <v>女</v>
      </c>
      <c r="D2013" s="6" t="str">
        <f>"202127012427"</f>
        <v>202127012427</v>
      </c>
      <c r="E2013" s="10" t="s">
        <v>27</v>
      </c>
      <c r="F2013" s="6" t="s">
        <v>9</v>
      </c>
      <c r="G2013" s="8">
        <v>55.6</v>
      </c>
      <c r="H2013" s="6"/>
    </row>
    <row r="2014" spans="1:8">
      <c r="A2014" s="5">
        <v>2405</v>
      </c>
      <c r="B2014" s="6" t="str">
        <f>"杨艳花"</f>
        <v>杨艳花</v>
      </c>
      <c r="C2014" s="6" t="str">
        <f t="shared" si="96"/>
        <v>女</v>
      </c>
      <c r="D2014" s="6" t="str">
        <f>"202127012428"</f>
        <v>202127012428</v>
      </c>
      <c r="E2014" s="10" t="s">
        <v>27</v>
      </c>
      <c r="F2014" s="6" t="s">
        <v>9</v>
      </c>
      <c r="G2014" s="8">
        <v>65.05</v>
      </c>
      <c r="H2014" s="6"/>
    </row>
    <row r="2015" spans="1:8">
      <c r="A2015" s="5">
        <v>2322</v>
      </c>
      <c r="B2015" s="6" t="str">
        <f>"肖柏敏"</f>
        <v>肖柏敏</v>
      </c>
      <c r="C2015" s="6" t="str">
        <f t="shared" si="96"/>
        <v>女</v>
      </c>
      <c r="D2015" s="6" t="str">
        <f>"202127012429"</f>
        <v>202127012429</v>
      </c>
      <c r="E2015" s="10" t="s">
        <v>27</v>
      </c>
      <c r="F2015" s="6" t="s">
        <v>9</v>
      </c>
      <c r="G2015" s="8">
        <v>54.8</v>
      </c>
      <c r="H2015" s="6"/>
    </row>
    <row r="2016" spans="1:8">
      <c r="A2016" s="5">
        <v>2252</v>
      </c>
      <c r="B2016" s="6" t="str">
        <f>"曹婉莹"</f>
        <v>曹婉莹</v>
      </c>
      <c r="C2016" s="6" t="str">
        <f t="shared" si="96"/>
        <v>女</v>
      </c>
      <c r="D2016" s="6" t="str">
        <f>"202127012430"</f>
        <v>202127012430</v>
      </c>
      <c r="E2016" s="10" t="s">
        <v>27</v>
      </c>
      <c r="F2016" s="6" t="s">
        <v>9</v>
      </c>
      <c r="G2016" s="8">
        <v>49.25</v>
      </c>
      <c r="H2016" s="6"/>
    </row>
    <row r="2017" spans="1:8">
      <c r="A2017" s="5">
        <v>2363</v>
      </c>
      <c r="B2017" s="6" t="str">
        <f>"李聘"</f>
        <v>李聘</v>
      </c>
      <c r="C2017" s="6" t="str">
        <f t="shared" si="96"/>
        <v>女</v>
      </c>
      <c r="D2017" s="6" t="str">
        <f>"202127012501"</f>
        <v>202127012501</v>
      </c>
      <c r="E2017" s="10" t="s">
        <v>27</v>
      </c>
      <c r="F2017" s="6" t="s">
        <v>9</v>
      </c>
      <c r="G2017" s="8">
        <v>46.65</v>
      </c>
      <c r="H2017" s="6"/>
    </row>
    <row r="2018" spans="1:8">
      <c r="A2018" s="5">
        <v>1980</v>
      </c>
      <c r="B2018" s="6" t="str">
        <f>"尹汝倩"</f>
        <v>尹汝倩</v>
      </c>
      <c r="C2018" s="6" t="str">
        <f t="shared" si="96"/>
        <v>女</v>
      </c>
      <c r="D2018" s="6" t="str">
        <f>"202127012502"</f>
        <v>202127012502</v>
      </c>
      <c r="E2018" s="10" t="s">
        <v>27</v>
      </c>
      <c r="F2018" s="6" t="s">
        <v>9</v>
      </c>
      <c r="G2018" s="8">
        <v>46.85</v>
      </c>
      <c r="H2018" s="6"/>
    </row>
    <row r="2019" spans="1:8">
      <c r="A2019" s="5">
        <v>2128</v>
      </c>
      <c r="B2019" s="6" t="str">
        <f>"蒋宜伶"</f>
        <v>蒋宜伶</v>
      </c>
      <c r="C2019" s="6" t="str">
        <f t="shared" si="96"/>
        <v>女</v>
      </c>
      <c r="D2019" s="6" t="str">
        <f>"202127012503"</f>
        <v>202127012503</v>
      </c>
      <c r="E2019" s="10" t="s">
        <v>27</v>
      </c>
      <c r="F2019" s="6" t="s">
        <v>9</v>
      </c>
      <c r="G2019" s="8">
        <v>69.8</v>
      </c>
      <c r="H2019" s="6"/>
    </row>
    <row r="2020" spans="1:8">
      <c r="A2020" s="5">
        <v>1973</v>
      </c>
      <c r="B2020" s="6" t="str">
        <f>"罗晓艳"</f>
        <v>罗晓艳</v>
      </c>
      <c r="C2020" s="6" t="str">
        <f t="shared" si="96"/>
        <v>女</v>
      </c>
      <c r="D2020" s="6" t="str">
        <f>"202127012504"</f>
        <v>202127012504</v>
      </c>
      <c r="E2020" s="10" t="s">
        <v>27</v>
      </c>
      <c r="F2020" s="6" t="s">
        <v>9</v>
      </c>
      <c r="G2020" s="8">
        <v>57.2</v>
      </c>
      <c r="H2020" s="6"/>
    </row>
    <row r="2021" spans="1:8">
      <c r="A2021" s="5">
        <v>2394</v>
      </c>
      <c r="B2021" s="6" t="str">
        <f>"唐兀颖"</f>
        <v>唐兀颖</v>
      </c>
      <c r="C2021" s="6" t="str">
        <f t="shared" si="96"/>
        <v>女</v>
      </c>
      <c r="D2021" s="6" t="str">
        <f>"202127012505"</f>
        <v>202127012505</v>
      </c>
      <c r="E2021" s="10" t="s">
        <v>27</v>
      </c>
      <c r="F2021" s="6" t="s">
        <v>9</v>
      </c>
      <c r="G2021" s="8">
        <v>50.7</v>
      </c>
      <c r="H2021" s="6"/>
    </row>
    <row r="2022" spans="1:8">
      <c r="A2022" s="5">
        <v>2125</v>
      </c>
      <c r="B2022" s="6" t="str">
        <f>"卢日湘"</f>
        <v>卢日湘</v>
      </c>
      <c r="C2022" s="6" t="str">
        <f t="shared" si="96"/>
        <v>女</v>
      </c>
      <c r="D2022" s="6" t="str">
        <f>"202127012506"</f>
        <v>202127012506</v>
      </c>
      <c r="E2022" s="10" t="s">
        <v>27</v>
      </c>
      <c r="F2022" s="6" t="s">
        <v>9</v>
      </c>
      <c r="G2022" s="8">
        <v>54.15</v>
      </c>
      <c r="H2022" s="6"/>
    </row>
    <row r="2023" spans="1:8">
      <c r="A2023" s="5">
        <v>1947</v>
      </c>
      <c r="B2023" s="6" t="str">
        <f>"夏纯纯"</f>
        <v>夏纯纯</v>
      </c>
      <c r="C2023" s="6" t="str">
        <f t="shared" si="96"/>
        <v>女</v>
      </c>
      <c r="D2023" s="6" t="str">
        <f>"202127012507"</f>
        <v>202127012507</v>
      </c>
      <c r="E2023" s="10" t="s">
        <v>27</v>
      </c>
      <c r="F2023" s="6" t="s">
        <v>9</v>
      </c>
      <c r="G2023" s="8">
        <v>51.2</v>
      </c>
      <c r="H2023" s="6"/>
    </row>
    <row r="2024" spans="1:8">
      <c r="A2024" s="5">
        <v>1878</v>
      </c>
      <c r="B2024" s="6" t="str">
        <f>"陶明珠"</f>
        <v>陶明珠</v>
      </c>
      <c r="C2024" s="6" t="str">
        <f t="shared" si="96"/>
        <v>女</v>
      </c>
      <c r="D2024" s="6" t="str">
        <f>"202127012508"</f>
        <v>202127012508</v>
      </c>
      <c r="E2024" s="10" t="s">
        <v>27</v>
      </c>
      <c r="F2024" s="6" t="s">
        <v>9</v>
      </c>
      <c r="G2024" s="8">
        <v>48.3</v>
      </c>
      <c r="H2024" s="6"/>
    </row>
    <row r="2025" spans="1:8">
      <c r="A2025" s="5">
        <v>1824</v>
      </c>
      <c r="B2025" s="6" t="str">
        <f>"刘姣"</f>
        <v>刘姣</v>
      </c>
      <c r="C2025" s="6" t="str">
        <f t="shared" si="96"/>
        <v>女</v>
      </c>
      <c r="D2025" s="6" t="str">
        <f>"202127012509"</f>
        <v>202127012509</v>
      </c>
      <c r="E2025" s="10" t="s">
        <v>27</v>
      </c>
      <c r="F2025" s="6" t="s">
        <v>9</v>
      </c>
      <c r="G2025" s="8">
        <v>60.65</v>
      </c>
      <c r="H2025" s="6"/>
    </row>
    <row r="2026" spans="1:8">
      <c r="A2026" s="5">
        <v>1874</v>
      </c>
      <c r="B2026" s="6" t="str">
        <f>"朱娉"</f>
        <v>朱娉</v>
      </c>
      <c r="C2026" s="6" t="str">
        <f t="shared" si="96"/>
        <v>女</v>
      </c>
      <c r="D2026" s="6" t="str">
        <f>"202127012510"</f>
        <v>202127012510</v>
      </c>
      <c r="E2026" s="10" t="s">
        <v>27</v>
      </c>
      <c r="F2026" s="6" t="s">
        <v>9</v>
      </c>
      <c r="G2026" s="8">
        <v>61.65</v>
      </c>
      <c r="H2026" s="6"/>
    </row>
    <row r="2027" spans="1:8">
      <c r="A2027" s="5">
        <v>2375</v>
      </c>
      <c r="B2027" s="6" t="str">
        <f>"简子轩"</f>
        <v>简子轩</v>
      </c>
      <c r="C2027" s="6" t="str">
        <f t="shared" ref="C2027:C2058" si="97">"女"</f>
        <v>女</v>
      </c>
      <c r="D2027" s="6" t="str">
        <f>"202127012511"</f>
        <v>202127012511</v>
      </c>
      <c r="E2027" s="10" t="s">
        <v>27</v>
      </c>
      <c r="F2027" s="6" t="s">
        <v>9</v>
      </c>
      <c r="G2027" s="8">
        <v>53.45</v>
      </c>
      <c r="H2027" s="6"/>
    </row>
    <row r="2028" spans="1:8">
      <c r="A2028" s="5">
        <v>2095</v>
      </c>
      <c r="B2028" s="6" t="str">
        <f>"向霏霏"</f>
        <v>向霏霏</v>
      </c>
      <c r="C2028" s="6" t="str">
        <f t="shared" si="97"/>
        <v>女</v>
      </c>
      <c r="D2028" s="6" t="str">
        <f>"202127012512"</f>
        <v>202127012512</v>
      </c>
      <c r="E2028" s="10" t="s">
        <v>27</v>
      </c>
      <c r="F2028" s="6" t="s">
        <v>9</v>
      </c>
      <c r="G2028" s="8">
        <v>53.6</v>
      </c>
      <c r="H2028" s="6"/>
    </row>
    <row r="2029" spans="1:8">
      <c r="A2029" s="5">
        <v>1776</v>
      </c>
      <c r="B2029" s="6" t="str">
        <f>"王文英"</f>
        <v>王文英</v>
      </c>
      <c r="C2029" s="6" t="str">
        <f t="shared" si="97"/>
        <v>女</v>
      </c>
      <c r="D2029" s="6" t="str">
        <f>"202127012513"</f>
        <v>202127012513</v>
      </c>
      <c r="E2029" s="10" t="s">
        <v>27</v>
      </c>
      <c r="F2029" s="6" t="s">
        <v>9</v>
      </c>
      <c r="G2029" s="8">
        <v>0</v>
      </c>
      <c r="H2029" s="9">
        <v>1</v>
      </c>
    </row>
    <row r="2030" spans="1:8">
      <c r="A2030" s="5">
        <v>2012</v>
      </c>
      <c r="B2030" s="6" t="str">
        <f>"段茹"</f>
        <v>段茹</v>
      </c>
      <c r="C2030" s="6" t="str">
        <f t="shared" si="97"/>
        <v>女</v>
      </c>
      <c r="D2030" s="6" t="str">
        <f>"202127012514"</f>
        <v>202127012514</v>
      </c>
      <c r="E2030" s="10" t="s">
        <v>27</v>
      </c>
      <c r="F2030" s="6" t="s">
        <v>9</v>
      </c>
      <c r="G2030" s="8">
        <v>57.35</v>
      </c>
      <c r="H2030" s="6"/>
    </row>
    <row r="2031" spans="1:8">
      <c r="A2031" s="5">
        <v>2159</v>
      </c>
      <c r="B2031" s="6" t="str">
        <f>"戴后秀"</f>
        <v>戴后秀</v>
      </c>
      <c r="C2031" s="6" t="str">
        <f t="shared" si="97"/>
        <v>女</v>
      </c>
      <c r="D2031" s="6" t="str">
        <f>"202127012515"</f>
        <v>202127012515</v>
      </c>
      <c r="E2031" s="10" t="s">
        <v>27</v>
      </c>
      <c r="F2031" s="6" t="s">
        <v>9</v>
      </c>
      <c r="G2031" s="8">
        <v>52.6</v>
      </c>
      <c r="H2031" s="6"/>
    </row>
    <row r="2032" spans="1:8">
      <c r="A2032" s="5">
        <v>2335</v>
      </c>
      <c r="B2032" s="6" t="str">
        <f>"王叶芳"</f>
        <v>王叶芳</v>
      </c>
      <c r="C2032" s="6" t="str">
        <f t="shared" si="97"/>
        <v>女</v>
      </c>
      <c r="D2032" s="6" t="str">
        <f>"202127012516"</f>
        <v>202127012516</v>
      </c>
      <c r="E2032" s="10" t="s">
        <v>27</v>
      </c>
      <c r="F2032" s="6" t="s">
        <v>9</v>
      </c>
      <c r="G2032" s="8">
        <v>66.900000000000006</v>
      </c>
      <c r="H2032" s="6"/>
    </row>
    <row r="2033" spans="1:8">
      <c r="A2033" s="5">
        <v>2264</v>
      </c>
      <c r="B2033" s="6" t="str">
        <f>"曾粤丽"</f>
        <v>曾粤丽</v>
      </c>
      <c r="C2033" s="6" t="str">
        <f t="shared" si="97"/>
        <v>女</v>
      </c>
      <c r="D2033" s="6" t="str">
        <f>"202127012517"</f>
        <v>202127012517</v>
      </c>
      <c r="E2033" s="10" t="s">
        <v>27</v>
      </c>
      <c r="F2033" s="6" t="s">
        <v>9</v>
      </c>
      <c r="G2033" s="8">
        <v>59.7</v>
      </c>
      <c r="H2033" s="6"/>
    </row>
    <row r="2034" spans="1:8">
      <c r="A2034" s="5">
        <v>1761</v>
      </c>
      <c r="B2034" s="6" t="str">
        <f>"黄英翠"</f>
        <v>黄英翠</v>
      </c>
      <c r="C2034" s="6" t="str">
        <f t="shared" si="97"/>
        <v>女</v>
      </c>
      <c r="D2034" s="6" t="str">
        <f>"202127012518"</f>
        <v>202127012518</v>
      </c>
      <c r="E2034" s="10" t="s">
        <v>27</v>
      </c>
      <c r="F2034" s="6" t="s">
        <v>9</v>
      </c>
      <c r="G2034" s="8">
        <v>0</v>
      </c>
      <c r="H2034" s="9">
        <v>1</v>
      </c>
    </row>
    <row r="2035" spans="1:8">
      <c r="A2035" s="5">
        <v>2088</v>
      </c>
      <c r="B2035" s="6" t="str">
        <f>"周丽"</f>
        <v>周丽</v>
      </c>
      <c r="C2035" s="6" t="str">
        <f t="shared" si="97"/>
        <v>女</v>
      </c>
      <c r="D2035" s="6" t="str">
        <f>"202127012519"</f>
        <v>202127012519</v>
      </c>
      <c r="E2035" s="10" t="s">
        <v>27</v>
      </c>
      <c r="F2035" s="6" t="s">
        <v>9</v>
      </c>
      <c r="G2035" s="8">
        <v>60.9</v>
      </c>
      <c r="H2035" s="6"/>
    </row>
    <row r="2036" spans="1:8">
      <c r="A2036" s="5">
        <v>1937</v>
      </c>
      <c r="B2036" s="6" t="str">
        <f>"邹丽萍"</f>
        <v>邹丽萍</v>
      </c>
      <c r="C2036" s="6" t="str">
        <f t="shared" si="97"/>
        <v>女</v>
      </c>
      <c r="D2036" s="6" t="str">
        <f>"202127012520"</f>
        <v>202127012520</v>
      </c>
      <c r="E2036" s="10" t="s">
        <v>27</v>
      </c>
      <c r="F2036" s="6" t="s">
        <v>9</v>
      </c>
      <c r="G2036" s="8">
        <v>0</v>
      </c>
      <c r="H2036" s="9">
        <v>1</v>
      </c>
    </row>
    <row r="2037" spans="1:8">
      <c r="A2037" s="5">
        <v>1964</v>
      </c>
      <c r="B2037" s="6" t="str">
        <f>"黄柳"</f>
        <v>黄柳</v>
      </c>
      <c r="C2037" s="6" t="str">
        <f t="shared" si="97"/>
        <v>女</v>
      </c>
      <c r="D2037" s="6" t="str">
        <f>"202127012521"</f>
        <v>202127012521</v>
      </c>
      <c r="E2037" s="10" t="s">
        <v>27</v>
      </c>
      <c r="F2037" s="6" t="s">
        <v>9</v>
      </c>
      <c r="G2037" s="8">
        <v>52.3</v>
      </c>
      <c r="H2037" s="6"/>
    </row>
    <row r="2038" spans="1:8">
      <c r="A2038" s="5">
        <v>1764</v>
      </c>
      <c r="B2038" s="6" t="str">
        <f>"向梦媛"</f>
        <v>向梦媛</v>
      </c>
      <c r="C2038" s="6" t="str">
        <f t="shared" si="97"/>
        <v>女</v>
      </c>
      <c r="D2038" s="6" t="str">
        <f>"202127012522"</f>
        <v>202127012522</v>
      </c>
      <c r="E2038" s="10" t="s">
        <v>27</v>
      </c>
      <c r="F2038" s="6" t="s">
        <v>9</v>
      </c>
      <c r="G2038" s="8">
        <v>58.2</v>
      </c>
      <c r="H2038" s="6"/>
    </row>
    <row r="2039" spans="1:8">
      <c r="A2039" s="5">
        <v>2213</v>
      </c>
      <c r="B2039" s="6" t="str">
        <f>"田烨"</f>
        <v>田烨</v>
      </c>
      <c r="C2039" s="6" t="str">
        <f t="shared" si="97"/>
        <v>女</v>
      </c>
      <c r="D2039" s="6" t="str">
        <f>"202127012523"</f>
        <v>202127012523</v>
      </c>
      <c r="E2039" s="10" t="s">
        <v>27</v>
      </c>
      <c r="F2039" s="6" t="s">
        <v>9</v>
      </c>
      <c r="G2039" s="8">
        <v>52.5</v>
      </c>
      <c r="H2039" s="6"/>
    </row>
    <row r="2040" spans="1:8">
      <c r="A2040" s="5">
        <v>2282</v>
      </c>
      <c r="B2040" s="6" t="str">
        <f>"罗思媛"</f>
        <v>罗思媛</v>
      </c>
      <c r="C2040" s="6" t="str">
        <f t="shared" si="97"/>
        <v>女</v>
      </c>
      <c r="D2040" s="6" t="str">
        <f>"202127012524"</f>
        <v>202127012524</v>
      </c>
      <c r="E2040" s="10" t="s">
        <v>27</v>
      </c>
      <c r="F2040" s="6" t="s">
        <v>9</v>
      </c>
      <c r="G2040" s="8">
        <v>46.35</v>
      </c>
      <c r="H2040" s="6"/>
    </row>
    <row r="2041" spans="1:8">
      <c r="A2041" s="5">
        <v>2419</v>
      </c>
      <c r="B2041" s="6" t="str">
        <f>"李芳"</f>
        <v>李芳</v>
      </c>
      <c r="C2041" s="6" t="str">
        <f t="shared" si="97"/>
        <v>女</v>
      </c>
      <c r="D2041" s="6" t="str">
        <f>"202127012525"</f>
        <v>202127012525</v>
      </c>
      <c r="E2041" s="10" t="s">
        <v>27</v>
      </c>
      <c r="F2041" s="6" t="s">
        <v>9</v>
      </c>
      <c r="G2041" s="8">
        <v>54.75</v>
      </c>
      <c r="H2041" s="6"/>
    </row>
    <row r="2042" spans="1:8">
      <c r="A2042" s="5">
        <v>2445</v>
      </c>
      <c r="B2042" s="6" t="str">
        <f>"邓芝芝"</f>
        <v>邓芝芝</v>
      </c>
      <c r="C2042" s="6" t="str">
        <f t="shared" si="97"/>
        <v>女</v>
      </c>
      <c r="D2042" s="6" t="str">
        <f>"202127012526"</f>
        <v>202127012526</v>
      </c>
      <c r="E2042" s="10" t="s">
        <v>27</v>
      </c>
      <c r="F2042" s="6" t="s">
        <v>9</v>
      </c>
      <c r="G2042" s="8">
        <v>61.95</v>
      </c>
      <c r="H2042" s="6"/>
    </row>
    <row r="2043" spans="1:8">
      <c r="A2043" s="5">
        <v>1915</v>
      </c>
      <c r="B2043" s="6" t="str">
        <f>"步小群"</f>
        <v>步小群</v>
      </c>
      <c r="C2043" s="6" t="str">
        <f t="shared" si="97"/>
        <v>女</v>
      </c>
      <c r="D2043" s="6" t="str">
        <f>"202127012527"</f>
        <v>202127012527</v>
      </c>
      <c r="E2043" s="10" t="s">
        <v>27</v>
      </c>
      <c r="F2043" s="6" t="s">
        <v>9</v>
      </c>
      <c r="G2043" s="8">
        <v>53.75</v>
      </c>
      <c r="H2043" s="6"/>
    </row>
    <row r="2044" spans="1:8">
      <c r="A2044" s="5">
        <v>2152</v>
      </c>
      <c r="B2044" s="6" t="str">
        <f>"王桃"</f>
        <v>王桃</v>
      </c>
      <c r="C2044" s="6" t="str">
        <f t="shared" si="97"/>
        <v>女</v>
      </c>
      <c r="D2044" s="6" t="str">
        <f>"202127012528"</f>
        <v>202127012528</v>
      </c>
      <c r="E2044" s="10" t="s">
        <v>27</v>
      </c>
      <c r="F2044" s="6" t="s">
        <v>9</v>
      </c>
      <c r="G2044" s="8">
        <v>59.2</v>
      </c>
      <c r="H2044" s="6"/>
    </row>
    <row r="2045" spans="1:8">
      <c r="A2045" s="5">
        <v>2137</v>
      </c>
      <c r="B2045" s="6" t="str">
        <f>"李涯春"</f>
        <v>李涯春</v>
      </c>
      <c r="C2045" s="6" t="str">
        <f t="shared" si="97"/>
        <v>女</v>
      </c>
      <c r="D2045" s="6" t="str">
        <f>"202127012529"</f>
        <v>202127012529</v>
      </c>
      <c r="E2045" s="10" t="s">
        <v>27</v>
      </c>
      <c r="F2045" s="6" t="s">
        <v>9</v>
      </c>
      <c r="G2045" s="8">
        <v>48.55</v>
      </c>
      <c r="H2045" s="6"/>
    </row>
    <row r="2046" spans="1:8">
      <c r="A2046" s="5">
        <v>2366</v>
      </c>
      <c r="B2046" s="6" t="str">
        <f>"刘圆"</f>
        <v>刘圆</v>
      </c>
      <c r="C2046" s="6" t="str">
        <f t="shared" si="97"/>
        <v>女</v>
      </c>
      <c r="D2046" s="6" t="str">
        <f>"202127012530"</f>
        <v>202127012530</v>
      </c>
      <c r="E2046" s="10" t="s">
        <v>27</v>
      </c>
      <c r="F2046" s="6" t="s">
        <v>9</v>
      </c>
      <c r="G2046" s="8">
        <v>61.5</v>
      </c>
      <c r="H2046" s="6"/>
    </row>
    <row r="2047" spans="1:8">
      <c r="A2047" s="5">
        <v>2177</v>
      </c>
      <c r="B2047" s="6" t="str">
        <f>"孟诗羽"</f>
        <v>孟诗羽</v>
      </c>
      <c r="C2047" s="6" t="str">
        <f t="shared" si="97"/>
        <v>女</v>
      </c>
      <c r="D2047" s="6" t="str">
        <f>"202127012601"</f>
        <v>202127012601</v>
      </c>
      <c r="E2047" s="10" t="s">
        <v>27</v>
      </c>
      <c r="F2047" s="6" t="s">
        <v>9</v>
      </c>
      <c r="G2047" s="8">
        <v>49.2</v>
      </c>
      <c r="H2047" s="6"/>
    </row>
    <row r="2048" spans="1:8">
      <c r="A2048" s="5">
        <v>2198</v>
      </c>
      <c r="B2048" s="6" t="str">
        <f>"王嘉欣"</f>
        <v>王嘉欣</v>
      </c>
      <c r="C2048" s="6" t="str">
        <f t="shared" si="97"/>
        <v>女</v>
      </c>
      <c r="D2048" s="6" t="str">
        <f>"202127012602"</f>
        <v>202127012602</v>
      </c>
      <c r="E2048" s="10" t="s">
        <v>27</v>
      </c>
      <c r="F2048" s="6" t="s">
        <v>9</v>
      </c>
      <c r="G2048" s="8">
        <v>56.25</v>
      </c>
      <c r="H2048" s="6"/>
    </row>
    <row r="2049" spans="1:8">
      <c r="A2049" s="5">
        <v>2286</v>
      </c>
      <c r="B2049" s="6" t="str">
        <f>"周晓君"</f>
        <v>周晓君</v>
      </c>
      <c r="C2049" s="6" t="str">
        <f t="shared" si="97"/>
        <v>女</v>
      </c>
      <c r="D2049" s="6" t="str">
        <f>"202127012603"</f>
        <v>202127012603</v>
      </c>
      <c r="E2049" s="10" t="s">
        <v>27</v>
      </c>
      <c r="F2049" s="6" t="s">
        <v>9</v>
      </c>
      <c r="G2049" s="8">
        <v>56</v>
      </c>
      <c r="H2049" s="6"/>
    </row>
    <row r="2050" spans="1:8">
      <c r="A2050" s="5">
        <v>2257</v>
      </c>
      <c r="B2050" s="6" t="str">
        <f>"李艾葭"</f>
        <v>李艾葭</v>
      </c>
      <c r="C2050" s="6" t="str">
        <f t="shared" si="97"/>
        <v>女</v>
      </c>
      <c r="D2050" s="6" t="str">
        <f>"202127012604"</f>
        <v>202127012604</v>
      </c>
      <c r="E2050" s="10" t="s">
        <v>27</v>
      </c>
      <c r="F2050" s="6" t="s">
        <v>9</v>
      </c>
      <c r="G2050" s="8">
        <v>68.55</v>
      </c>
      <c r="H2050" s="6"/>
    </row>
    <row r="2051" spans="1:8">
      <c r="A2051" s="5">
        <v>2424</v>
      </c>
      <c r="B2051" s="6" t="str">
        <f>"康丽娅"</f>
        <v>康丽娅</v>
      </c>
      <c r="C2051" s="6" t="str">
        <f t="shared" si="97"/>
        <v>女</v>
      </c>
      <c r="D2051" s="6" t="str">
        <f>"202127012605"</f>
        <v>202127012605</v>
      </c>
      <c r="E2051" s="10" t="s">
        <v>27</v>
      </c>
      <c r="F2051" s="6" t="s">
        <v>9</v>
      </c>
      <c r="G2051" s="8">
        <v>45.2</v>
      </c>
      <c r="H2051" s="6"/>
    </row>
    <row r="2052" spans="1:8">
      <c r="A2052" s="5">
        <v>2050</v>
      </c>
      <c r="B2052" s="6" t="str">
        <f>"韩程程"</f>
        <v>韩程程</v>
      </c>
      <c r="C2052" s="6" t="str">
        <f t="shared" si="97"/>
        <v>女</v>
      </c>
      <c r="D2052" s="6" t="str">
        <f>"202127012606"</f>
        <v>202127012606</v>
      </c>
      <c r="E2052" s="10" t="s">
        <v>27</v>
      </c>
      <c r="F2052" s="6" t="s">
        <v>9</v>
      </c>
      <c r="G2052" s="8">
        <v>49.8</v>
      </c>
      <c r="H2052" s="6"/>
    </row>
    <row r="2053" spans="1:8">
      <c r="A2053" s="5">
        <v>1839</v>
      </c>
      <c r="B2053" s="6" t="str">
        <f>"刘娇缘"</f>
        <v>刘娇缘</v>
      </c>
      <c r="C2053" s="6" t="str">
        <f t="shared" si="97"/>
        <v>女</v>
      </c>
      <c r="D2053" s="6" t="str">
        <f>"202127012607"</f>
        <v>202127012607</v>
      </c>
      <c r="E2053" s="10" t="s">
        <v>27</v>
      </c>
      <c r="F2053" s="6" t="s">
        <v>9</v>
      </c>
      <c r="G2053" s="8">
        <v>51.4</v>
      </c>
      <c r="H2053" s="6"/>
    </row>
    <row r="2054" spans="1:8">
      <c r="A2054" s="5">
        <v>1877</v>
      </c>
      <c r="B2054" s="6" t="str">
        <f>"贺梦姿"</f>
        <v>贺梦姿</v>
      </c>
      <c r="C2054" s="6" t="str">
        <f t="shared" si="97"/>
        <v>女</v>
      </c>
      <c r="D2054" s="6" t="str">
        <f>"202127012608"</f>
        <v>202127012608</v>
      </c>
      <c r="E2054" s="10" t="s">
        <v>27</v>
      </c>
      <c r="F2054" s="6" t="s">
        <v>9</v>
      </c>
      <c r="G2054" s="8">
        <v>57.55</v>
      </c>
      <c r="H2054" s="6"/>
    </row>
    <row r="2055" spans="1:8">
      <c r="A2055" s="5">
        <v>1898</v>
      </c>
      <c r="B2055" s="6" t="str">
        <f>"伍淳"</f>
        <v>伍淳</v>
      </c>
      <c r="C2055" s="6" t="str">
        <f t="shared" si="97"/>
        <v>女</v>
      </c>
      <c r="D2055" s="6" t="str">
        <f>"202127012609"</f>
        <v>202127012609</v>
      </c>
      <c r="E2055" s="10" t="s">
        <v>27</v>
      </c>
      <c r="F2055" s="6" t="s">
        <v>9</v>
      </c>
      <c r="G2055" s="8">
        <v>66.599999999999994</v>
      </c>
      <c r="H2055" s="6"/>
    </row>
    <row r="2056" spans="1:8">
      <c r="A2056" s="5">
        <v>2190</v>
      </c>
      <c r="B2056" s="6" t="str">
        <f>"李姣"</f>
        <v>李姣</v>
      </c>
      <c r="C2056" s="6" t="str">
        <f t="shared" si="97"/>
        <v>女</v>
      </c>
      <c r="D2056" s="6" t="str">
        <f>"202127012610"</f>
        <v>202127012610</v>
      </c>
      <c r="E2056" s="10" t="s">
        <v>27</v>
      </c>
      <c r="F2056" s="6" t="s">
        <v>9</v>
      </c>
      <c r="G2056" s="8">
        <v>55.05</v>
      </c>
      <c r="H2056" s="6"/>
    </row>
    <row r="2057" spans="1:8">
      <c r="A2057" s="5">
        <v>1880</v>
      </c>
      <c r="B2057" s="6" t="str">
        <f>"阮凡容"</f>
        <v>阮凡容</v>
      </c>
      <c r="C2057" s="6" t="str">
        <f t="shared" si="97"/>
        <v>女</v>
      </c>
      <c r="D2057" s="6" t="str">
        <f>"202127012611"</f>
        <v>202127012611</v>
      </c>
      <c r="E2057" s="10" t="s">
        <v>27</v>
      </c>
      <c r="F2057" s="6" t="s">
        <v>9</v>
      </c>
      <c r="G2057" s="8">
        <v>66.150000000000006</v>
      </c>
      <c r="H2057" s="6"/>
    </row>
    <row r="2058" spans="1:8">
      <c r="A2058" s="5">
        <v>2417</v>
      </c>
      <c r="B2058" s="6" t="str">
        <f>"孙敏"</f>
        <v>孙敏</v>
      </c>
      <c r="C2058" s="6" t="str">
        <f t="shared" si="97"/>
        <v>女</v>
      </c>
      <c r="D2058" s="6" t="str">
        <f>"202127012612"</f>
        <v>202127012612</v>
      </c>
      <c r="E2058" s="10" t="s">
        <v>27</v>
      </c>
      <c r="F2058" s="6" t="s">
        <v>9</v>
      </c>
      <c r="G2058" s="8">
        <v>57.25</v>
      </c>
      <c r="H2058" s="6"/>
    </row>
    <row r="2059" spans="1:8">
      <c r="A2059" s="5">
        <v>2141</v>
      </c>
      <c r="B2059" s="6" t="str">
        <f>"李伉"</f>
        <v>李伉</v>
      </c>
      <c r="C2059" s="6" t="str">
        <f t="shared" ref="C2059:C2090" si="98">"女"</f>
        <v>女</v>
      </c>
      <c r="D2059" s="6" t="str">
        <f>"202127012613"</f>
        <v>202127012613</v>
      </c>
      <c r="E2059" s="10" t="s">
        <v>27</v>
      </c>
      <c r="F2059" s="6" t="s">
        <v>9</v>
      </c>
      <c r="G2059" s="8">
        <v>65.2</v>
      </c>
      <c r="H2059" s="6"/>
    </row>
    <row r="2060" spans="1:8">
      <c r="A2060" s="5">
        <v>1968</v>
      </c>
      <c r="B2060" s="6" t="str">
        <f>"李泓模"</f>
        <v>李泓模</v>
      </c>
      <c r="C2060" s="6" t="str">
        <f t="shared" si="98"/>
        <v>女</v>
      </c>
      <c r="D2060" s="6" t="str">
        <f>"202127012614"</f>
        <v>202127012614</v>
      </c>
      <c r="E2060" s="10" t="s">
        <v>27</v>
      </c>
      <c r="F2060" s="6" t="s">
        <v>9</v>
      </c>
      <c r="G2060" s="8">
        <v>65.150000000000006</v>
      </c>
      <c r="H2060" s="6"/>
    </row>
    <row r="2061" spans="1:8">
      <c r="A2061" s="5">
        <v>2010</v>
      </c>
      <c r="B2061" s="6" t="str">
        <f>"陈灵"</f>
        <v>陈灵</v>
      </c>
      <c r="C2061" s="6" t="str">
        <f t="shared" si="98"/>
        <v>女</v>
      </c>
      <c r="D2061" s="6" t="str">
        <f>"202127012615"</f>
        <v>202127012615</v>
      </c>
      <c r="E2061" s="10" t="s">
        <v>27</v>
      </c>
      <c r="F2061" s="6" t="s">
        <v>9</v>
      </c>
      <c r="G2061" s="8">
        <v>66.599999999999994</v>
      </c>
      <c r="H2061" s="6"/>
    </row>
    <row r="2062" spans="1:8">
      <c r="A2062" s="5">
        <v>1867</v>
      </c>
      <c r="B2062" s="6" t="str">
        <f>"李玲玲"</f>
        <v>李玲玲</v>
      </c>
      <c r="C2062" s="6" t="str">
        <f t="shared" si="98"/>
        <v>女</v>
      </c>
      <c r="D2062" s="6" t="str">
        <f>"202127012616"</f>
        <v>202127012616</v>
      </c>
      <c r="E2062" s="10" t="s">
        <v>27</v>
      </c>
      <c r="F2062" s="6" t="s">
        <v>9</v>
      </c>
      <c r="G2062" s="8">
        <v>63.7</v>
      </c>
      <c r="H2062" s="6"/>
    </row>
    <row r="2063" spans="1:8">
      <c r="A2063" s="5">
        <v>1941</v>
      </c>
      <c r="B2063" s="6" t="str">
        <f>"周惠梅"</f>
        <v>周惠梅</v>
      </c>
      <c r="C2063" s="6" t="str">
        <f t="shared" si="98"/>
        <v>女</v>
      </c>
      <c r="D2063" s="6" t="str">
        <f>"202127012617"</f>
        <v>202127012617</v>
      </c>
      <c r="E2063" s="10" t="s">
        <v>27</v>
      </c>
      <c r="F2063" s="6" t="s">
        <v>9</v>
      </c>
      <c r="G2063" s="8">
        <v>63.35</v>
      </c>
      <c r="H2063" s="6"/>
    </row>
    <row r="2064" spans="1:8">
      <c r="A2064" s="5">
        <v>2446</v>
      </c>
      <c r="B2064" s="6" t="str">
        <f>"黄芷若"</f>
        <v>黄芷若</v>
      </c>
      <c r="C2064" s="6" t="str">
        <f t="shared" si="98"/>
        <v>女</v>
      </c>
      <c r="D2064" s="6" t="str">
        <f>"202127012618"</f>
        <v>202127012618</v>
      </c>
      <c r="E2064" s="10" t="s">
        <v>27</v>
      </c>
      <c r="F2064" s="6" t="s">
        <v>9</v>
      </c>
      <c r="G2064" s="8">
        <v>52.4</v>
      </c>
      <c r="H2064" s="6"/>
    </row>
    <row r="2065" spans="1:8">
      <c r="A2065" s="5">
        <v>2059</v>
      </c>
      <c r="B2065" s="6" t="str">
        <f>"肖千千"</f>
        <v>肖千千</v>
      </c>
      <c r="C2065" s="6" t="str">
        <f t="shared" si="98"/>
        <v>女</v>
      </c>
      <c r="D2065" s="6" t="str">
        <f>"202127012619"</f>
        <v>202127012619</v>
      </c>
      <c r="E2065" s="10" t="s">
        <v>27</v>
      </c>
      <c r="F2065" s="6" t="s">
        <v>9</v>
      </c>
      <c r="G2065" s="8">
        <v>57.15</v>
      </c>
      <c r="H2065" s="6"/>
    </row>
    <row r="2066" spans="1:8">
      <c r="A2066" s="5">
        <v>1759</v>
      </c>
      <c r="B2066" s="6" t="str">
        <f>"邓理想"</f>
        <v>邓理想</v>
      </c>
      <c r="C2066" s="6" t="str">
        <f t="shared" si="98"/>
        <v>女</v>
      </c>
      <c r="D2066" s="6" t="str">
        <f>"202127012620"</f>
        <v>202127012620</v>
      </c>
      <c r="E2066" s="10" t="s">
        <v>27</v>
      </c>
      <c r="F2066" s="6" t="s">
        <v>9</v>
      </c>
      <c r="G2066" s="8">
        <v>0</v>
      </c>
      <c r="H2066" s="9">
        <v>1</v>
      </c>
    </row>
    <row r="2067" spans="1:8">
      <c r="A2067" s="5">
        <v>2360</v>
      </c>
      <c r="B2067" s="6" t="str">
        <f>"肖秋云"</f>
        <v>肖秋云</v>
      </c>
      <c r="C2067" s="6" t="str">
        <f t="shared" si="98"/>
        <v>女</v>
      </c>
      <c r="D2067" s="6" t="str">
        <f>"202127012621"</f>
        <v>202127012621</v>
      </c>
      <c r="E2067" s="10" t="s">
        <v>27</v>
      </c>
      <c r="F2067" s="6" t="s">
        <v>9</v>
      </c>
      <c r="G2067" s="8">
        <v>43.6</v>
      </c>
      <c r="H2067" s="6"/>
    </row>
    <row r="2068" spans="1:8">
      <c r="A2068" s="5">
        <v>2162</v>
      </c>
      <c r="B2068" s="6" t="str">
        <f>"谢丹"</f>
        <v>谢丹</v>
      </c>
      <c r="C2068" s="6" t="str">
        <f t="shared" si="98"/>
        <v>女</v>
      </c>
      <c r="D2068" s="6" t="str">
        <f>"202127012622"</f>
        <v>202127012622</v>
      </c>
      <c r="E2068" s="10" t="s">
        <v>27</v>
      </c>
      <c r="F2068" s="6" t="s">
        <v>9</v>
      </c>
      <c r="G2068" s="8">
        <v>43.1</v>
      </c>
      <c r="H2068" s="6"/>
    </row>
    <row r="2069" spans="1:8">
      <c r="A2069" s="5">
        <v>1865</v>
      </c>
      <c r="B2069" s="6" t="str">
        <f>"康朝辉"</f>
        <v>康朝辉</v>
      </c>
      <c r="C2069" s="6" t="str">
        <f t="shared" si="98"/>
        <v>女</v>
      </c>
      <c r="D2069" s="6" t="str">
        <f>"202127012623"</f>
        <v>202127012623</v>
      </c>
      <c r="E2069" s="10" t="s">
        <v>27</v>
      </c>
      <c r="F2069" s="6" t="s">
        <v>9</v>
      </c>
      <c r="G2069" s="8">
        <v>52.25</v>
      </c>
      <c r="H2069" s="6"/>
    </row>
    <row r="2070" spans="1:8">
      <c r="A2070" s="5">
        <v>2315</v>
      </c>
      <c r="B2070" s="6" t="str">
        <f>"何五叶"</f>
        <v>何五叶</v>
      </c>
      <c r="C2070" s="6" t="str">
        <f t="shared" si="98"/>
        <v>女</v>
      </c>
      <c r="D2070" s="6" t="str">
        <f>"202127012624"</f>
        <v>202127012624</v>
      </c>
      <c r="E2070" s="10" t="s">
        <v>27</v>
      </c>
      <c r="F2070" s="6" t="s">
        <v>9</v>
      </c>
      <c r="G2070" s="8">
        <v>59</v>
      </c>
      <c r="H2070" s="6"/>
    </row>
    <row r="2071" spans="1:8">
      <c r="A2071" s="5">
        <v>2247</v>
      </c>
      <c r="B2071" s="6" t="str">
        <f>"曾玉"</f>
        <v>曾玉</v>
      </c>
      <c r="C2071" s="6" t="str">
        <f t="shared" si="98"/>
        <v>女</v>
      </c>
      <c r="D2071" s="6" t="str">
        <f>"202127012625"</f>
        <v>202127012625</v>
      </c>
      <c r="E2071" s="10" t="s">
        <v>27</v>
      </c>
      <c r="F2071" s="6" t="s">
        <v>9</v>
      </c>
      <c r="G2071" s="8">
        <v>62.7</v>
      </c>
      <c r="H2071" s="6"/>
    </row>
    <row r="2072" spans="1:8">
      <c r="A2072" s="5">
        <v>2298</v>
      </c>
      <c r="B2072" s="6" t="str">
        <f>"易玉梅"</f>
        <v>易玉梅</v>
      </c>
      <c r="C2072" s="6" t="str">
        <f t="shared" si="98"/>
        <v>女</v>
      </c>
      <c r="D2072" s="6" t="str">
        <f>"202127012626"</f>
        <v>202127012626</v>
      </c>
      <c r="E2072" s="10" t="s">
        <v>27</v>
      </c>
      <c r="F2072" s="6" t="s">
        <v>9</v>
      </c>
      <c r="G2072" s="8">
        <v>57.1</v>
      </c>
      <c r="H2072" s="6"/>
    </row>
    <row r="2073" spans="1:8">
      <c r="A2073" s="5">
        <v>2000</v>
      </c>
      <c r="B2073" s="6" t="str">
        <f>"孙萌"</f>
        <v>孙萌</v>
      </c>
      <c r="C2073" s="6" t="str">
        <f t="shared" si="98"/>
        <v>女</v>
      </c>
      <c r="D2073" s="6" t="str">
        <f>"202127012627"</f>
        <v>202127012627</v>
      </c>
      <c r="E2073" s="10" t="s">
        <v>27</v>
      </c>
      <c r="F2073" s="6" t="s">
        <v>9</v>
      </c>
      <c r="G2073" s="8">
        <v>42.8</v>
      </c>
      <c r="H2073" s="6"/>
    </row>
    <row r="2074" spans="1:8">
      <c r="A2074" s="5">
        <v>2210</v>
      </c>
      <c r="B2074" s="6" t="str">
        <f>"康林梅"</f>
        <v>康林梅</v>
      </c>
      <c r="C2074" s="6" t="str">
        <f t="shared" si="98"/>
        <v>女</v>
      </c>
      <c r="D2074" s="6" t="str">
        <f>"202127012628"</f>
        <v>202127012628</v>
      </c>
      <c r="E2074" s="10" t="s">
        <v>27</v>
      </c>
      <c r="F2074" s="6" t="s">
        <v>9</v>
      </c>
      <c r="G2074" s="8">
        <v>62.85</v>
      </c>
      <c r="H2074" s="6"/>
    </row>
    <row r="2075" spans="1:8">
      <c r="A2075" s="5">
        <v>1931</v>
      </c>
      <c r="B2075" s="6" t="str">
        <f>"沈恬"</f>
        <v>沈恬</v>
      </c>
      <c r="C2075" s="6" t="str">
        <f t="shared" si="98"/>
        <v>女</v>
      </c>
      <c r="D2075" s="6" t="str">
        <f>"202127012629"</f>
        <v>202127012629</v>
      </c>
      <c r="E2075" s="10" t="s">
        <v>27</v>
      </c>
      <c r="F2075" s="6" t="s">
        <v>9</v>
      </c>
      <c r="G2075" s="8">
        <v>56.3</v>
      </c>
      <c r="H2075" s="6"/>
    </row>
    <row r="2076" spans="1:8">
      <c r="A2076" s="5">
        <v>2147</v>
      </c>
      <c r="B2076" s="6" t="str">
        <f>"唐方草"</f>
        <v>唐方草</v>
      </c>
      <c r="C2076" s="6" t="str">
        <f t="shared" si="98"/>
        <v>女</v>
      </c>
      <c r="D2076" s="6" t="str">
        <f>"202127012630"</f>
        <v>202127012630</v>
      </c>
      <c r="E2076" s="10" t="s">
        <v>27</v>
      </c>
      <c r="F2076" s="6" t="s">
        <v>9</v>
      </c>
      <c r="G2076" s="8">
        <v>58.55</v>
      </c>
      <c r="H2076" s="6"/>
    </row>
    <row r="2077" spans="1:8">
      <c r="A2077" s="5">
        <v>1806</v>
      </c>
      <c r="B2077" s="6" t="str">
        <f>"李茜"</f>
        <v>李茜</v>
      </c>
      <c r="C2077" s="6" t="str">
        <f t="shared" si="98"/>
        <v>女</v>
      </c>
      <c r="D2077" s="6" t="str">
        <f>"202127012701"</f>
        <v>202127012701</v>
      </c>
      <c r="E2077" s="10" t="s">
        <v>27</v>
      </c>
      <c r="F2077" s="6" t="s">
        <v>9</v>
      </c>
      <c r="G2077" s="8">
        <v>62</v>
      </c>
      <c r="H2077" s="6"/>
    </row>
    <row r="2078" spans="1:8">
      <c r="A2078" s="5">
        <v>2376</v>
      </c>
      <c r="B2078" s="6" t="str">
        <f>"刘锟"</f>
        <v>刘锟</v>
      </c>
      <c r="C2078" s="6" t="str">
        <f t="shared" si="98"/>
        <v>女</v>
      </c>
      <c r="D2078" s="6" t="str">
        <f>"202127012702"</f>
        <v>202127012702</v>
      </c>
      <c r="E2078" s="10" t="s">
        <v>27</v>
      </c>
      <c r="F2078" s="6" t="s">
        <v>9</v>
      </c>
      <c r="G2078" s="8">
        <v>54</v>
      </c>
      <c r="H2078" s="6"/>
    </row>
    <row r="2079" spans="1:8">
      <c r="A2079" s="5">
        <v>2131</v>
      </c>
      <c r="B2079" s="6" t="str">
        <f>"尹斌生"</f>
        <v>尹斌生</v>
      </c>
      <c r="C2079" s="6" t="str">
        <f t="shared" si="98"/>
        <v>女</v>
      </c>
      <c r="D2079" s="6" t="str">
        <f>"202127012703"</f>
        <v>202127012703</v>
      </c>
      <c r="E2079" s="10" t="s">
        <v>27</v>
      </c>
      <c r="F2079" s="6" t="s">
        <v>9</v>
      </c>
      <c r="G2079" s="8">
        <v>53.85</v>
      </c>
      <c r="H2079" s="6"/>
    </row>
    <row r="2080" spans="1:8">
      <c r="A2080" s="5">
        <v>2002</v>
      </c>
      <c r="B2080" s="6" t="str">
        <f>"莫慧凤"</f>
        <v>莫慧凤</v>
      </c>
      <c r="C2080" s="6" t="str">
        <f t="shared" si="98"/>
        <v>女</v>
      </c>
      <c r="D2080" s="6" t="str">
        <f>"202127012704"</f>
        <v>202127012704</v>
      </c>
      <c r="E2080" s="10" t="s">
        <v>27</v>
      </c>
      <c r="F2080" s="6" t="s">
        <v>9</v>
      </c>
      <c r="G2080" s="8">
        <v>47.25</v>
      </c>
      <c r="H2080" s="6"/>
    </row>
    <row r="2081" spans="1:8">
      <c r="A2081" s="5">
        <v>2173</v>
      </c>
      <c r="B2081" s="6" t="str">
        <f>"伍汪"</f>
        <v>伍汪</v>
      </c>
      <c r="C2081" s="6" t="str">
        <f t="shared" si="98"/>
        <v>女</v>
      </c>
      <c r="D2081" s="6" t="str">
        <f>"202127012705"</f>
        <v>202127012705</v>
      </c>
      <c r="E2081" s="10" t="s">
        <v>27</v>
      </c>
      <c r="F2081" s="6" t="s">
        <v>9</v>
      </c>
      <c r="G2081" s="8">
        <v>59.45</v>
      </c>
      <c r="H2081" s="6"/>
    </row>
    <row r="2082" spans="1:8">
      <c r="A2082" s="5">
        <v>1911</v>
      </c>
      <c r="B2082" s="6" t="str">
        <f>"马婷"</f>
        <v>马婷</v>
      </c>
      <c r="C2082" s="6" t="str">
        <f t="shared" si="98"/>
        <v>女</v>
      </c>
      <c r="D2082" s="6" t="str">
        <f>"202127012706"</f>
        <v>202127012706</v>
      </c>
      <c r="E2082" s="10" t="s">
        <v>27</v>
      </c>
      <c r="F2082" s="6" t="s">
        <v>9</v>
      </c>
      <c r="G2082" s="8">
        <v>54.9</v>
      </c>
      <c r="H2082" s="6"/>
    </row>
    <row r="2083" spans="1:8">
      <c r="A2083" s="5">
        <v>2029</v>
      </c>
      <c r="B2083" s="6" t="str">
        <f>"邓蕾"</f>
        <v>邓蕾</v>
      </c>
      <c r="C2083" s="6" t="str">
        <f t="shared" si="98"/>
        <v>女</v>
      </c>
      <c r="D2083" s="6" t="str">
        <f>"202127012707"</f>
        <v>202127012707</v>
      </c>
      <c r="E2083" s="10" t="s">
        <v>27</v>
      </c>
      <c r="F2083" s="6" t="s">
        <v>9</v>
      </c>
      <c r="G2083" s="8">
        <v>41.75</v>
      </c>
      <c r="H2083" s="6"/>
    </row>
    <row r="2084" spans="1:8">
      <c r="A2084" s="5">
        <v>2313</v>
      </c>
      <c r="B2084" s="6" t="str">
        <f>"孙倩蕾"</f>
        <v>孙倩蕾</v>
      </c>
      <c r="C2084" s="6" t="str">
        <f t="shared" si="98"/>
        <v>女</v>
      </c>
      <c r="D2084" s="6" t="str">
        <f>"202127012708"</f>
        <v>202127012708</v>
      </c>
      <c r="E2084" s="10" t="s">
        <v>27</v>
      </c>
      <c r="F2084" s="6" t="s">
        <v>9</v>
      </c>
      <c r="G2084" s="8">
        <v>52.5</v>
      </c>
      <c r="H2084" s="6"/>
    </row>
    <row r="2085" spans="1:8">
      <c r="A2085" s="5">
        <v>2392</v>
      </c>
      <c r="B2085" s="6" t="str">
        <f>"王亚兰"</f>
        <v>王亚兰</v>
      </c>
      <c r="C2085" s="6" t="str">
        <f t="shared" si="98"/>
        <v>女</v>
      </c>
      <c r="D2085" s="6" t="str">
        <f>"202127012709"</f>
        <v>202127012709</v>
      </c>
      <c r="E2085" s="10" t="s">
        <v>27</v>
      </c>
      <c r="F2085" s="6" t="s">
        <v>9</v>
      </c>
      <c r="G2085" s="8">
        <v>51.05</v>
      </c>
      <c r="H2085" s="6"/>
    </row>
    <row r="2086" spans="1:8">
      <c r="A2086" s="5">
        <v>2091</v>
      </c>
      <c r="B2086" s="6" t="str">
        <f>"刘次华"</f>
        <v>刘次华</v>
      </c>
      <c r="C2086" s="6" t="str">
        <f t="shared" si="98"/>
        <v>女</v>
      </c>
      <c r="D2086" s="6" t="str">
        <f>"202127012710"</f>
        <v>202127012710</v>
      </c>
      <c r="E2086" s="10" t="s">
        <v>27</v>
      </c>
      <c r="F2086" s="6" t="s">
        <v>9</v>
      </c>
      <c r="G2086" s="8">
        <v>56.05</v>
      </c>
      <c r="H2086" s="6"/>
    </row>
    <row r="2087" spans="1:8">
      <c r="A2087" s="5">
        <v>2082</v>
      </c>
      <c r="B2087" s="6" t="str">
        <f>"何芳"</f>
        <v>何芳</v>
      </c>
      <c r="C2087" s="6" t="str">
        <f t="shared" si="98"/>
        <v>女</v>
      </c>
      <c r="D2087" s="6" t="str">
        <f>"202127012711"</f>
        <v>202127012711</v>
      </c>
      <c r="E2087" s="10" t="s">
        <v>27</v>
      </c>
      <c r="F2087" s="6" t="s">
        <v>9</v>
      </c>
      <c r="G2087" s="8">
        <v>63.1</v>
      </c>
      <c r="H2087" s="6"/>
    </row>
    <row r="2088" spans="1:8">
      <c r="A2088" s="5">
        <v>1860</v>
      </c>
      <c r="B2088" s="6" t="str">
        <f>"杨晓丽"</f>
        <v>杨晓丽</v>
      </c>
      <c r="C2088" s="6" t="str">
        <f t="shared" si="98"/>
        <v>女</v>
      </c>
      <c r="D2088" s="6" t="str">
        <f>"202127012712"</f>
        <v>202127012712</v>
      </c>
      <c r="E2088" s="10" t="s">
        <v>27</v>
      </c>
      <c r="F2088" s="6" t="s">
        <v>9</v>
      </c>
      <c r="G2088" s="8">
        <v>47.25</v>
      </c>
      <c r="H2088" s="6"/>
    </row>
    <row r="2089" spans="1:8">
      <c r="A2089" s="5">
        <v>2105</v>
      </c>
      <c r="B2089" s="6" t="str">
        <f>"龙玉红"</f>
        <v>龙玉红</v>
      </c>
      <c r="C2089" s="6" t="str">
        <f t="shared" si="98"/>
        <v>女</v>
      </c>
      <c r="D2089" s="6" t="str">
        <f>"202127012713"</f>
        <v>202127012713</v>
      </c>
      <c r="E2089" s="10" t="s">
        <v>27</v>
      </c>
      <c r="F2089" s="6" t="s">
        <v>9</v>
      </c>
      <c r="G2089" s="8">
        <v>72.3</v>
      </c>
      <c r="H2089" s="6"/>
    </row>
    <row r="2090" spans="1:8">
      <c r="A2090" s="5">
        <v>2231</v>
      </c>
      <c r="B2090" s="6" t="str">
        <f>"焦晓宁"</f>
        <v>焦晓宁</v>
      </c>
      <c r="C2090" s="6" t="str">
        <f t="shared" si="98"/>
        <v>女</v>
      </c>
      <c r="D2090" s="6" t="str">
        <f>"202127012714"</f>
        <v>202127012714</v>
      </c>
      <c r="E2090" s="10" t="s">
        <v>27</v>
      </c>
      <c r="F2090" s="6" t="s">
        <v>9</v>
      </c>
      <c r="G2090" s="8">
        <v>55.55</v>
      </c>
      <c r="H2090" s="6"/>
    </row>
    <row r="2091" spans="1:8">
      <c r="A2091" s="5">
        <v>2338</v>
      </c>
      <c r="B2091" s="6" t="str">
        <f>"黄霞"</f>
        <v>黄霞</v>
      </c>
      <c r="C2091" s="6" t="str">
        <f t="shared" ref="C2091:C2112" si="99">"女"</f>
        <v>女</v>
      </c>
      <c r="D2091" s="6" t="str">
        <f>"202127012715"</f>
        <v>202127012715</v>
      </c>
      <c r="E2091" s="10" t="s">
        <v>27</v>
      </c>
      <c r="F2091" s="6" t="s">
        <v>9</v>
      </c>
      <c r="G2091" s="8">
        <v>49.25</v>
      </c>
      <c r="H2091" s="6"/>
    </row>
    <row r="2092" spans="1:8">
      <c r="A2092" s="5">
        <v>1930</v>
      </c>
      <c r="B2092" s="6" t="str">
        <f>"雷茂琼 "</f>
        <v>雷茂琼</v>
      </c>
      <c r="C2092" s="6" t="str">
        <f t="shared" si="99"/>
        <v>女</v>
      </c>
      <c r="D2092" s="6" t="str">
        <f>"202127012716"</f>
        <v>202127012716</v>
      </c>
      <c r="E2092" s="10" t="s">
        <v>27</v>
      </c>
      <c r="F2092" s="6" t="s">
        <v>9</v>
      </c>
      <c r="G2092" s="8">
        <v>36.1</v>
      </c>
      <c r="H2092" s="6"/>
    </row>
    <row r="2093" spans="1:8">
      <c r="A2093" s="5">
        <v>2046</v>
      </c>
      <c r="B2093" s="6" t="str">
        <f>"苏卓琳"</f>
        <v>苏卓琳</v>
      </c>
      <c r="C2093" s="6" t="str">
        <f t="shared" si="99"/>
        <v>女</v>
      </c>
      <c r="D2093" s="6" t="str">
        <f>"202127012717"</f>
        <v>202127012717</v>
      </c>
      <c r="E2093" s="10" t="s">
        <v>27</v>
      </c>
      <c r="F2093" s="6" t="s">
        <v>9</v>
      </c>
      <c r="G2093" s="8">
        <v>48.4</v>
      </c>
      <c r="H2093" s="6"/>
    </row>
    <row r="2094" spans="1:8">
      <c r="A2094" s="5">
        <v>1886</v>
      </c>
      <c r="B2094" s="6" t="str">
        <f>"唐艳"</f>
        <v>唐艳</v>
      </c>
      <c r="C2094" s="6" t="str">
        <f t="shared" si="99"/>
        <v>女</v>
      </c>
      <c r="D2094" s="6" t="str">
        <f>"202127012718"</f>
        <v>202127012718</v>
      </c>
      <c r="E2094" s="10" t="s">
        <v>27</v>
      </c>
      <c r="F2094" s="6" t="s">
        <v>9</v>
      </c>
      <c r="G2094" s="8">
        <v>61.5</v>
      </c>
      <c r="H2094" s="6"/>
    </row>
    <row r="2095" spans="1:8">
      <c r="A2095" s="5">
        <v>2411</v>
      </c>
      <c r="B2095" s="6" t="str">
        <f>"周颖"</f>
        <v>周颖</v>
      </c>
      <c r="C2095" s="6" t="str">
        <f t="shared" si="99"/>
        <v>女</v>
      </c>
      <c r="D2095" s="6" t="str">
        <f>"202127012719"</f>
        <v>202127012719</v>
      </c>
      <c r="E2095" s="10" t="s">
        <v>27</v>
      </c>
      <c r="F2095" s="6" t="s">
        <v>9</v>
      </c>
      <c r="G2095" s="8">
        <v>47.3</v>
      </c>
      <c r="H2095" s="6"/>
    </row>
    <row r="2096" spans="1:8">
      <c r="A2096" s="5">
        <v>2093</v>
      </c>
      <c r="B2096" s="6" t="str">
        <f>"张嫚"</f>
        <v>张嫚</v>
      </c>
      <c r="C2096" s="6" t="str">
        <f t="shared" si="99"/>
        <v>女</v>
      </c>
      <c r="D2096" s="6" t="str">
        <f>"202127012720"</f>
        <v>202127012720</v>
      </c>
      <c r="E2096" s="10" t="s">
        <v>27</v>
      </c>
      <c r="F2096" s="6" t="s">
        <v>9</v>
      </c>
      <c r="G2096" s="8">
        <v>44.2</v>
      </c>
      <c r="H2096" s="6"/>
    </row>
    <row r="2097" spans="1:8">
      <c r="A2097" s="5">
        <v>1796</v>
      </c>
      <c r="B2097" s="6" t="str">
        <f>"张文思"</f>
        <v>张文思</v>
      </c>
      <c r="C2097" s="6" t="str">
        <f t="shared" si="99"/>
        <v>女</v>
      </c>
      <c r="D2097" s="6" t="str">
        <f>"202127012721"</f>
        <v>202127012721</v>
      </c>
      <c r="E2097" s="10" t="s">
        <v>27</v>
      </c>
      <c r="F2097" s="6" t="s">
        <v>9</v>
      </c>
      <c r="G2097" s="8">
        <v>59.75</v>
      </c>
      <c r="H2097" s="6"/>
    </row>
    <row r="2098" spans="1:8">
      <c r="A2098" s="5">
        <v>1817</v>
      </c>
      <c r="B2098" s="6" t="str">
        <f>"彭洁枚"</f>
        <v>彭洁枚</v>
      </c>
      <c r="C2098" s="6" t="str">
        <f t="shared" si="99"/>
        <v>女</v>
      </c>
      <c r="D2098" s="6" t="str">
        <f>"202127012722"</f>
        <v>202127012722</v>
      </c>
      <c r="E2098" s="10" t="s">
        <v>27</v>
      </c>
      <c r="F2098" s="6" t="s">
        <v>9</v>
      </c>
      <c r="G2098" s="8">
        <v>56</v>
      </c>
      <c r="H2098" s="6"/>
    </row>
    <row r="2099" spans="1:8">
      <c r="A2099" s="5">
        <v>1981</v>
      </c>
      <c r="B2099" s="6" t="str">
        <f>"胡要梅"</f>
        <v>胡要梅</v>
      </c>
      <c r="C2099" s="6" t="str">
        <f t="shared" si="99"/>
        <v>女</v>
      </c>
      <c r="D2099" s="6" t="str">
        <f>"202127012723"</f>
        <v>202127012723</v>
      </c>
      <c r="E2099" s="10" t="s">
        <v>27</v>
      </c>
      <c r="F2099" s="6" t="s">
        <v>9</v>
      </c>
      <c r="G2099" s="8">
        <v>57.9</v>
      </c>
      <c r="H2099" s="6"/>
    </row>
    <row r="2100" spans="1:8">
      <c r="A2100" s="5">
        <v>2183</v>
      </c>
      <c r="B2100" s="6" t="str">
        <f>"胡楠"</f>
        <v>胡楠</v>
      </c>
      <c r="C2100" s="6" t="str">
        <f t="shared" si="99"/>
        <v>女</v>
      </c>
      <c r="D2100" s="6" t="str">
        <f>"202127012724"</f>
        <v>202127012724</v>
      </c>
      <c r="E2100" s="10" t="s">
        <v>27</v>
      </c>
      <c r="F2100" s="6" t="s">
        <v>9</v>
      </c>
      <c r="G2100" s="8">
        <v>62.9</v>
      </c>
      <c r="H2100" s="6"/>
    </row>
    <row r="2101" spans="1:8">
      <c r="A2101" s="5">
        <v>1979</v>
      </c>
      <c r="B2101" s="6" t="str">
        <f>"刘园玲"</f>
        <v>刘园玲</v>
      </c>
      <c r="C2101" s="6" t="str">
        <f t="shared" si="99"/>
        <v>女</v>
      </c>
      <c r="D2101" s="6" t="str">
        <f>"202127012725"</f>
        <v>202127012725</v>
      </c>
      <c r="E2101" s="10" t="s">
        <v>27</v>
      </c>
      <c r="F2101" s="6" t="s">
        <v>9</v>
      </c>
      <c r="G2101" s="8">
        <v>67.599999999999994</v>
      </c>
      <c r="H2101" s="6"/>
    </row>
    <row r="2102" spans="1:8">
      <c r="A2102" s="5">
        <v>1846</v>
      </c>
      <c r="B2102" s="6" t="str">
        <f>"朱敬仪"</f>
        <v>朱敬仪</v>
      </c>
      <c r="C2102" s="6" t="str">
        <f t="shared" si="99"/>
        <v>女</v>
      </c>
      <c r="D2102" s="6" t="str">
        <f>"202127012726"</f>
        <v>202127012726</v>
      </c>
      <c r="E2102" s="10" t="s">
        <v>27</v>
      </c>
      <c r="F2102" s="6" t="s">
        <v>9</v>
      </c>
      <c r="G2102" s="8">
        <v>64.349999999999994</v>
      </c>
      <c r="H2102" s="6"/>
    </row>
    <row r="2103" spans="1:8">
      <c r="A2103" s="5">
        <v>1908</v>
      </c>
      <c r="B2103" s="6" t="str">
        <f>"华巧笑"</f>
        <v>华巧笑</v>
      </c>
      <c r="C2103" s="6" t="str">
        <f t="shared" si="99"/>
        <v>女</v>
      </c>
      <c r="D2103" s="6" t="str">
        <f>"202127012727"</f>
        <v>202127012727</v>
      </c>
      <c r="E2103" s="10" t="s">
        <v>27</v>
      </c>
      <c r="F2103" s="6" t="s">
        <v>9</v>
      </c>
      <c r="G2103" s="8">
        <v>48.7</v>
      </c>
      <c r="H2103" s="6"/>
    </row>
    <row r="2104" spans="1:8">
      <c r="A2104" s="5">
        <v>1775</v>
      </c>
      <c r="B2104" s="6" t="str">
        <f>"董晓珍"</f>
        <v>董晓珍</v>
      </c>
      <c r="C2104" s="6" t="str">
        <f t="shared" si="99"/>
        <v>女</v>
      </c>
      <c r="D2104" s="6" t="str">
        <f>"202127012728"</f>
        <v>202127012728</v>
      </c>
      <c r="E2104" s="10" t="s">
        <v>27</v>
      </c>
      <c r="F2104" s="6" t="s">
        <v>9</v>
      </c>
      <c r="G2104" s="8">
        <v>61.6</v>
      </c>
      <c r="H2104" s="6"/>
    </row>
    <row r="2105" spans="1:8">
      <c r="A2105" s="5">
        <v>2080</v>
      </c>
      <c r="B2105" s="6" t="str">
        <f>"杨莺"</f>
        <v>杨莺</v>
      </c>
      <c r="C2105" s="6" t="str">
        <f t="shared" si="99"/>
        <v>女</v>
      </c>
      <c r="D2105" s="6" t="str">
        <f>"202127012729"</f>
        <v>202127012729</v>
      </c>
      <c r="E2105" s="10" t="s">
        <v>27</v>
      </c>
      <c r="F2105" s="6" t="s">
        <v>9</v>
      </c>
      <c r="G2105" s="8">
        <v>62.85</v>
      </c>
      <c r="H2105" s="6"/>
    </row>
    <row r="2106" spans="1:8">
      <c r="A2106" s="5">
        <v>2185</v>
      </c>
      <c r="B2106" s="6" t="str">
        <f>"赵巧玲"</f>
        <v>赵巧玲</v>
      </c>
      <c r="C2106" s="6" t="str">
        <f t="shared" si="99"/>
        <v>女</v>
      </c>
      <c r="D2106" s="6" t="str">
        <f>"202127012730"</f>
        <v>202127012730</v>
      </c>
      <c r="E2106" s="10" t="s">
        <v>27</v>
      </c>
      <c r="F2106" s="6" t="s">
        <v>9</v>
      </c>
      <c r="G2106" s="8">
        <v>60</v>
      </c>
      <c r="H2106" s="6"/>
    </row>
    <row r="2107" spans="1:8">
      <c r="A2107" s="5">
        <v>2170</v>
      </c>
      <c r="B2107" s="6" t="str">
        <f>"姚莹"</f>
        <v>姚莹</v>
      </c>
      <c r="C2107" s="6" t="str">
        <f t="shared" si="99"/>
        <v>女</v>
      </c>
      <c r="D2107" s="6" t="str">
        <f>"202127012801"</f>
        <v>202127012801</v>
      </c>
      <c r="E2107" s="10" t="s">
        <v>27</v>
      </c>
      <c r="F2107" s="6" t="s">
        <v>9</v>
      </c>
      <c r="G2107" s="8">
        <v>56.65</v>
      </c>
      <c r="H2107" s="6"/>
    </row>
    <row r="2108" spans="1:8">
      <c r="A2108" s="5">
        <v>2274</v>
      </c>
      <c r="B2108" s="6" t="str">
        <f>"王翔"</f>
        <v>王翔</v>
      </c>
      <c r="C2108" s="6" t="str">
        <f t="shared" si="99"/>
        <v>女</v>
      </c>
      <c r="D2108" s="6" t="str">
        <f>"202127012802"</f>
        <v>202127012802</v>
      </c>
      <c r="E2108" s="10" t="s">
        <v>27</v>
      </c>
      <c r="F2108" s="6" t="s">
        <v>9</v>
      </c>
      <c r="G2108" s="8">
        <v>54.2</v>
      </c>
      <c r="H2108" s="6"/>
    </row>
    <row r="2109" spans="1:8">
      <c r="A2109" s="5">
        <v>2199</v>
      </c>
      <c r="B2109" s="6" t="str">
        <f>"段雨利"</f>
        <v>段雨利</v>
      </c>
      <c r="C2109" s="6" t="str">
        <f t="shared" si="99"/>
        <v>女</v>
      </c>
      <c r="D2109" s="6" t="str">
        <f>"202127012803"</f>
        <v>202127012803</v>
      </c>
      <c r="E2109" s="10" t="s">
        <v>27</v>
      </c>
      <c r="F2109" s="6" t="s">
        <v>9</v>
      </c>
      <c r="G2109" s="8">
        <v>48.3</v>
      </c>
      <c r="H2109" s="6"/>
    </row>
    <row r="2110" spans="1:8">
      <c r="A2110" s="5">
        <v>2400</v>
      </c>
      <c r="B2110" s="6" t="str">
        <f>"何鑫"</f>
        <v>何鑫</v>
      </c>
      <c r="C2110" s="6" t="str">
        <f t="shared" si="99"/>
        <v>女</v>
      </c>
      <c r="D2110" s="6" t="str">
        <f>"202127012804"</f>
        <v>202127012804</v>
      </c>
      <c r="E2110" s="10" t="s">
        <v>27</v>
      </c>
      <c r="F2110" s="6" t="s">
        <v>9</v>
      </c>
      <c r="G2110" s="8">
        <v>61.95</v>
      </c>
      <c r="H2110" s="6"/>
    </row>
    <row r="2111" spans="1:8">
      <c r="A2111" s="5">
        <v>2404</v>
      </c>
      <c r="B2111" s="6" t="str">
        <f>"唐登芳"</f>
        <v>唐登芳</v>
      </c>
      <c r="C2111" s="6" t="str">
        <f t="shared" si="99"/>
        <v>女</v>
      </c>
      <c r="D2111" s="6" t="str">
        <f>"202127012805"</f>
        <v>202127012805</v>
      </c>
      <c r="E2111" s="10" t="s">
        <v>27</v>
      </c>
      <c r="F2111" s="6" t="s">
        <v>9</v>
      </c>
      <c r="G2111" s="8">
        <v>49.4</v>
      </c>
      <c r="H2111" s="6"/>
    </row>
    <row r="2112" spans="1:8">
      <c r="A2112" s="5">
        <v>2323</v>
      </c>
      <c r="B2112" s="6" t="str">
        <f>"史秀丽"</f>
        <v>史秀丽</v>
      </c>
      <c r="C2112" s="6" t="str">
        <f t="shared" si="99"/>
        <v>女</v>
      </c>
      <c r="D2112" s="6" t="str">
        <f>"202127012806"</f>
        <v>202127012806</v>
      </c>
      <c r="E2112" s="10" t="s">
        <v>27</v>
      </c>
      <c r="F2112" s="6" t="s">
        <v>9</v>
      </c>
      <c r="G2112" s="8">
        <v>59.35</v>
      </c>
      <c r="H2112" s="6"/>
    </row>
    <row r="2113" spans="1:8">
      <c r="A2113" s="5">
        <v>1851</v>
      </c>
      <c r="B2113" s="6" t="str">
        <f>"张栋梁"</f>
        <v>张栋梁</v>
      </c>
      <c r="C2113" s="6" t="str">
        <f>"男"</f>
        <v>男</v>
      </c>
      <c r="D2113" s="6" t="str">
        <f>"202127012807"</f>
        <v>202127012807</v>
      </c>
      <c r="E2113" s="10" t="s">
        <v>27</v>
      </c>
      <c r="F2113" s="6" t="s">
        <v>9</v>
      </c>
      <c r="G2113" s="8">
        <v>63.7</v>
      </c>
      <c r="H2113" s="6"/>
    </row>
    <row r="2114" spans="1:8">
      <c r="A2114" s="5">
        <v>1920</v>
      </c>
      <c r="B2114" s="6" t="str">
        <f>"谢晓琴"</f>
        <v>谢晓琴</v>
      </c>
      <c r="C2114" s="6" t="str">
        <f t="shared" ref="C2114:C2122" si="100">"女"</f>
        <v>女</v>
      </c>
      <c r="D2114" s="6" t="str">
        <f>"202127012808"</f>
        <v>202127012808</v>
      </c>
      <c r="E2114" s="10" t="s">
        <v>27</v>
      </c>
      <c r="F2114" s="6" t="s">
        <v>9</v>
      </c>
      <c r="G2114" s="8">
        <v>0</v>
      </c>
      <c r="H2114" s="9">
        <v>1</v>
      </c>
    </row>
    <row r="2115" spans="1:8">
      <c r="A2115" s="5">
        <v>1903</v>
      </c>
      <c r="B2115" s="6" t="str">
        <f>"肖榕"</f>
        <v>肖榕</v>
      </c>
      <c r="C2115" s="6" t="str">
        <f t="shared" si="100"/>
        <v>女</v>
      </c>
      <c r="D2115" s="6" t="str">
        <f>"202127012809"</f>
        <v>202127012809</v>
      </c>
      <c r="E2115" s="10" t="s">
        <v>27</v>
      </c>
      <c r="F2115" s="6" t="s">
        <v>9</v>
      </c>
      <c r="G2115" s="8">
        <v>71.75</v>
      </c>
      <c r="H2115" s="6"/>
    </row>
    <row r="2116" spans="1:8">
      <c r="A2116" s="5">
        <v>2240</v>
      </c>
      <c r="B2116" s="6" t="str">
        <f>"刘文翠"</f>
        <v>刘文翠</v>
      </c>
      <c r="C2116" s="6" t="str">
        <f t="shared" si="100"/>
        <v>女</v>
      </c>
      <c r="D2116" s="6" t="str">
        <f>"202127012810"</f>
        <v>202127012810</v>
      </c>
      <c r="E2116" s="10" t="s">
        <v>27</v>
      </c>
      <c r="F2116" s="6" t="s">
        <v>9</v>
      </c>
      <c r="G2116" s="8">
        <v>61.45</v>
      </c>
      <c r="H2116" s="6"/>
    </row>
    <row r="2117" spans="1:8">
      <c r="A2117" s="5">
        <v>2184</v>
      </c>
      <c r="B2117" s="6" t="str">
        <f>"伍薇颖"</f>
        <v>伍薇颖</v>
      </c>
      <c r="C2117" s="6" t="str">
        <f t="shared" si="100"/>
        <v>女</v>
      </c>
      <c r="D2117" s="6" t="str">
        <f>"202127012811"</f>
        <v>202127012811</v>
      </c>
      <c r="E2117" s="10" t="s">
        <v>27</v>
      </c>
      <c r="F2117" s="6" t="s">
        <v>9</v>
      </c>
      <c r="G2117" s="8">
        <v>56.65</v>
      </c>
      <c r="H2117" s="6"/>
    </row>
    <row r="2118" spans="1:8">
      <c r="A2118" s="5">
        <v>2311</v>
      </c>
      <c r="B2118" s="6" t="str">
        <f>"黄瑜宇"</f>
        <v>黄瑜宇</v>
      </c>
      <c r="C2118" s="6" t="str">
        <f t="shared" si="100"/>
        <v>女</v>
      </c>
      <c r="D2118" s="6" t="str">
        <f>"202127012812"</f>
        <v>202127012812</v>
      </c>
      <c r="E2118" s="10" t="s">
        <v>27</v>
      </c>
      <c r="F2118" s="6" t="s">
        <v>9</v>
      </c>
      <c r="G2118" s="8">
        <v>55.1</v>
      </c>
      <c r="H2118" s="6"/>
    </row>
    <row r="2119" spans="1:8">
      <c r="A2119" s="5">
        <v>2086</v>
      </c>
      <c r="B2119" s="6" t="str">
        <f>"邓小琴"</f>
        <v>邓小琴</v>
      </c>
      <c r="C2119" s="6" t="str">
        <f t="shared" si="100"/>
        <v>女</v>
      </c>
      <c r="D2119" s="6" t="str">
        <f>"202127012813"</f>
        <v>202127012813</v>
      </c>
      <c r="E2119" s="10" t="s">
        <v>27</v>
      </c>
      <c r="F2119" s="6" t="s">
        <v>9</v>
      </c>
      <c r="G2119" s="8">
        <v>62.45</v>
      </c>
      <c r="H2119" s="6"/>
    </row>
    <row r="2120" spans="1:8">
      <c r="A2120" s="5">
        <v>1770</v>
      </c>
      <c r="B2120" s="6" t="str">
        <f>"海蓓"</f>
        <v>海蓓</v>
      </c>
      <c r="C2120" s="6" t="str">
        <f t="shared" si="100"/>
        <v>女</v>
      </c>
      <c r="D2120" s="6" t="str">
        <f>"202127012814"</f>
        <v>202127012814</v>
      </c>
      <c r="E2120" s="10" t="s">
        <v>27</v>
      </c>
      <c r="F2120" s="6" t="s">
        <v>9</v>
      </c>
      <c r="G2120" s="8">
        <v>28.6</v>
      </c>
      <c r="H2120" s="6"/>
    </row>
    <row r="2121" spans="1:8">
      <c r="A2121" s="5">
        <v>2195</v>
      </c>
      <c r="B2121" s="6" t="str">
        <f>"唐文圆"</f>
        <v>唐文圆</v>
      </c>
      <c r="C2121" s="6" t="str">
        <f t="shared" si="100"/>
        <v>女</v>
      </c>
      <c r="D2121" s="6" t="str">
        <f>"202127012815"</f>
        <v>202127012815</v>
      </c>
      <c r="E2121" s="10" t="s">
        <v>27</v>
      </c>
      <c r="F2121" s="6" t="s">
        <v>9</v>
      </c>
      <c r="G2121" s="8">
        <v>46.8</v>
      </c>
      <c r="H2121" s="6"/>
    </row>
    <row r="2122" spans="1:8">
      <c r="A2122" s="5">
        <v>1956</v>
      </c>
      <c r="B2122" s="6" t="str">
        <f>"吴晓露"</f>
        <v>吴晓露</v>
      </c>
      <c r="C2122" s="6" t="str">
        <f t="shared" si="100"/>
        <v>女</v>
      </c>
      <c r="D2122" s="6" t="str">
        <f>"202127012816"</f>
        <v>202127012816</v>
      </c>
      <c r="E2122" s="10" t="s">
        <v>27</v>
      </c>
      <c r="F2122" s="6" t="s">
        <v>9</v>
      </c>
      <c r="G2122" s="8">
        <v>41.2</v>
      </c>
      <c r="H2122" s="6"/>
    </row>
    <row r="2123" spans="1:8">
      <c r="A2123" s="5">
        <v>1790</v>
      </c>
      <c r="B2123" s="6" t="str">
        <f>"李巧战"</f>
        <v>李巧战</v>
      </c>
      <c r="C2123" s="6" t="str">
        <f>"男"</f>
        <v>男</v>
      </c>
      <c r="D2123" s="6" t="str">
        <f>"202127012817"</f>
        <v>202127012817</v>
      </c>
      <c r="E2123" s="10" t="s">
        <v>27</v>
      </c>
      <c r="F2123" s="6" t="s">
        <v>9</v>
      </c>
      <c r="G2123" s="8">
        <v>61.5</v>
      </c>
      <c r="H2123" s="6"/>
    </row>
    <row r="2124" spans="1:8">
      <c r="A2124" s="5">
        <v>1762</v>
      </c>
      <c r="B2124" s="6" t="str">
        <f>"陈梦琪"</f>
        <v>陈梦琪</v>
      </c>
      <c r="C2124" s="6" t="str">
        <f>"女"</f>
        <v>女</v>
      </c>
      <c r="D2124" s="6" t="str">
        <f>"202127012818"</f>
        <v>202127012818</v>
      </c>
      <c r="E2124" s="10" t="s">
        <v>27</v>
      </c>
      <c r="F2124" s="6" t="s">
        <v>9</v>
      </c>
      <c r="G2124" s="8">
        <v>54.2</v>
      </c>
      <c r="H2124" s="6"/>
    </row>
    <row r="2125" spans="1:8">
      <c r="A2125" s="5">
        <v>1924</v>
      </c>
      <c r="B2125" s="6" t="str">
        <f>"张慧"</f>
        <v>张慧</v>
      </c>
      <c r="C2125" s="6" t="str">
        <f>"女"</f>
        <v>女</v>
      </c>
      <c r="D2125" s="6" t="str">
        <f>"202127012819"</f>
        <v>202127012819</v>
      </c>
      <c r="E2125" s="10" t="s">
        <v>27</v>
      </c>
      <c r="F2125" s="6" t="s">
        <v>9</v>
      </c>
      <c r="G2125" s="8">
        <v>59.3</v>
      </c>
      <c r="H2125" s="6"/>
    </row>
    <row r="2126" spans="1:8">
      <c r="A2126" s="5">
        <v>2421</v>
      </c>
      <c r="B2126" s="6" t="str">
        <f>"何如"</f>
        <v>何如</v>
      </c>
      <c r="C2126" s="6" t="str">
        <f>"男"</f>
        <v>男</v>
      </c>
      <c r="D2126" s="6" t="str">
        <f>"202127012820"</f>
        <v>202127012820</v>
      </c>
      <c r="E2126" s="10" t="s">
        <v>27</v>
      </c>
      <c r="F2126" s="6" t="s">
        <v>9</v>
      </c>
      <c r="G2126" s="8">
        <v>51.4</v>
      </c>
      <c r="H2126" s="6"/>
    </row>
    <row r="2127" spans="1:8">
      <c r="A2127" s="5">
        <v>2109</v>
      </c>
      <c r="B2127" s="6" t="str">
        <f>"李哲"</f>
        <v>李哲</v>
      </c>
      <c r="C2127" s="6" t="str">
        <f t="shared" ref="C2127:C2153" si="101">"女"</f>
        <v>女</v>
      </c>
      <c r="D2127" s="6" t="str">
        <f>"202127012821"</f>
        <v>202127012821</v>
      </c>
      <c r="E2127" s="10" t="s">
        <v>27</v>
      </c>
      <c r="F2127" s="6" t="s">
        <v>9</v>
      </c>
      <c r="G2127" s="8">
        <v>65.75</v>
      </c>
      <c r="H2127" s="6"/>
    </row>
    <row r="2128" spans="1:8">
      <c r="A2128" s="5">
        <v>2028</v>
      </c>
      <c r="B2128" s="6" t="str">
        <f>"张龙桂"</f>
        <v>张龙桂</v>
      </c>
      <c r="C2128" s="6" t="str">
        <f t="shared" si="101"/>
        <v>女</v>
      </c>
      <c r="D2128" s="6" t="str">
        <f>"202127012822"</f>
        <v>202127012822</v>
      </c>
      <c r="E2128" s="10" t="s">
        <v>27</v>
      </c>
      <c r="F2128" s="6" t="s">
        <v>9</v>
      </c>
      <c r="G2128" s="8">
        <v>55.35</v>
      </c>
      <c r="H2128" s="6"/>
    </row>
    <row r="2129" spans="1:8">
      <c r="A2129" s="5">
        <v>2071</v>
      </c>
      <c r="B2129" s="6" t="str">
        <f>"邓敏"</f>
        <v>邓敏</v>
      </c>
      <c r="C2129" s="6" t="str">
        <f t="shared" si="101"/>
        <v>女</v>
      </c>
      <c r="D2129" s="6" t="str">
        <f>"202127012823"</f>
        <v>202127012823</v>
      </c>
      <c r="E2129" s="10" t="s">
        <v>27</v>
      </c>
      <c r="F2129" s="6" t="s">
        <v>9</v>
      </c>
      <c r="G2129" s="8">
        <v>53.8</v>
      </c>
      <c r="H2129" s="6"/>
    </row>
    <row r="2130" spans="1:8">
      <c r="A2130" s="5">
        <v>2134</v>
      </c>
      <c r="B2130" s="6" t="str">
        <f>"李思华"</f>
        <v>李思华</v>
      </c>
      <c r="C2130" s="6" t="str">
        <f t="shared" si="101"/>
        <v>女</v>
      </c>
      <c r="D2130" s="6" t="str">
        <f>"202127012824"</f>
        <v>202127012824</v>
      </c>
      <c r="E2130" s="10" t="s">
        <v>27</v>
      </c>
      <c r="F2130" s="6" t="s">
        <v>9</v>
      </c>
      <c r="G2130" s="8">
        <v>63.75</v>
      </c>
      <c r="H2130" s="6"/>
    </row>
    <row r="2131" spans="1:8">
      <c r="A2131" s="5">
        <v>2179</v>
      </c>
      <c r="B2131" s="6" t="str">
        <f>"刘焕"</f>
        <v>刘焕</v>
      </c>
      <c r="C2131" s="6" t="str">
        <f t="shared" si="101"/>
        <v>女</v>
      </c>
      <c r="D2131" s="6" t="str">
        <f>"202127012825"</f>
        <v>202127012825</v>
      </c>
      <c r="E2131" s="10" t="s">
        <v>27</v>
      </c>
      <c r="F2131" s="6" t="s">
        <v>9</v>
      </c>
      <c r="G2131" s="8">
        <v>54.85</v>
      </c>
      <c r="H2131" s="6"/>
    </row>
    <row r="2132" spans="1:8">
      <c r="A2132" s="5">
        <v>1900</v>
      </c>
      <c r="B2132" s="6" t="str">
        <f>"杨驰骋"</f>
        <v>杨驰骋</v>
      </c>
      <c r="C2132" s="6" t="str">
        <f t="shared" si="101"/>
        <v>女</v>
      </c>
      <c r="D2132" s="6" t="str">
        <f>"202127012826"</f>
        <v>202127012826</v>
      </c>
      <c r="E2132" s="10" t="s">
        <v>27</v>
      </c>
      <c r="F2132" s="6" t="s">
        <v>9</v>
      </c>
      <c r="G2132" s="8">
        <v>59.35</v>
      </c>
      <c r="H2132" s="6"/>
    </row>
    <row r="2133" spans="1:8">
      <c r="A2133" s="5">
        <v>2321</v>
      </c>
      <c r="B2133" s="6" t="str">
        <f>"谭飞叶"</f>
        <v>谭飞叶</v>
      </c>
      <c r="C2133" s="6" t="str">
        <f t="shared" si="101"/>
        <v>女</v>
      </c>
      <c r="D2133" s="6" t="str">
        <f>"202127012827"</f>
        <v>202127012827</v>
      </c>
      <c r="E2133" s="10" t="s">
        <v>27</v>
      </c>
      <c r="F2133" s="6" t="s">
        <v>9</v>
      </c>
      <c r="G2133" s="8">
        <v>61.1</v>
      </c>
      <c r="H2133" s="6"/>
    </row>
    <row r="2134" spans="1:8">
      <c r="A2134" s="5">
        <v>2387</v>
      </c>
      <c r="B2134" s="6" t="str">
        <f>"袁玲"</f>
        <v>袁玲</v>
      </c>
      <c r="C2134" s="6" t="str">
        <f t="shared" si="101"/>
        <v>女</v>
      </c>
      <c r="D2134" s="6" t="str">
        <f>"202127012828"</f>
        <v>202127012828</v>
      </c>
      <c r="E2134" s="10" t="s">
        <v>27</v>
      </c>
      <c r="F2134" s="6" t="s">
        <v>9</v>
      </c>
      <c r="G2134" s="8">
        <v>51.85</v>
      </c>
      <c r="H2134" s="6"/>
    </row>
    <row r="2135" spans="1:8">
      <c r="A2135" s="5">
        <v>1868</v>
      </c>
      <c r="B2135" s="6" t="str">
        <f>"刘欢"</f>
        <v>刘欢</v>
      </c>
      <c r="C2135" s="6" t="str">
        <f t="shared" si="101"/>
        <v>女</v>
      </c>
      <c r="D2135" s="6" t="str">
        <f>"202127012829"</f>
        <v>202127012829</v>
      </c>
      <c r="E2135" s="10" t="s">
        <v>27</v>
      </c>
      <c r="F2135" s="6" t="s">
        <v>9</v>
      </c>
      <c r="G2135" s="8">
        <v>44.4</v>
      </c>
      <c r="H2135" s="6"/>
    </row>
    <row r="2136" spans="1:8">
      <c r="A2136" s="5">
        <v>1757</v>
      </c>
      <c r="B2136" s="6" t="str">
        <f>"杨广君"</f>
        <v>杨广君</v>
      </c>
      <c r="C2136" s="6" t="str">
        <f t="shared" si="101"/>
        <v>女</v>
      </c>
      <c r="D2136" s="6" t="str">
        <f>"202127012830"</f>
        <v>202127012830</v>
      </c>
      <c r="E2136" s="10" t="s">
        <v>27</v>
      </c>
      <c r="F2136" s="6" t="s">
        <v>9</v>
      </c>
      <c r="G2136" s="8">
        <v>0</v>
      </c>
      <c r="H2136" s="9">
        <v>1</v>
      </c>
    </row>
    <row r="2137" spans="1:8">
      <c r="A2137" s="5">
        <v>2229</v>
      </c>
      <c r="B2137" s="6" t="str">
        <f>"车霞"</f>
        <v>车霞</v>
      </c>
      <c r="C2137" s="6" t="str">
        <f t="shared" si="101"/>
        <v>女</v>
      </c>
      <c r="D2137" s="6" t="str">
        <f>"202127012901"</f>
        <v>202127012901</v>
      </c>
      <c r="E2137" s="10" t="s">
        <v>27</v>
      </c>
      <c r="F2137" s="6" t="s">
        <v>9</v>
      </c>
      <c r="G2137" s="8">
        <v>49.85</v>
      </c>
      <c r="H2137" s="6"/>
    </row>
    <row r="2138" spans="1:8">
      <c r="A2138" s="5">
        <v>2038</v>
      </c>
      <c r="B2138" s="6" t="str">
        <f>"梁艳俞"</f>
        <v>梁艳俞</v>
      </c>
      <c r="C2138" s="6" t="str">
        <f t="shared" si="101"/>
        <v>女</v>
      </c>
      <c r="D2138" s="6" t="str">
        <f>"202127012902"</f>
        <v>202127012902</v>
      </c>
      <c r="E2138" s="10" t="s">
        <v>27</v>
      </c>
      <c r="F2138" s="6" t="s">
        <v>9</v>
      </c>
      <c r="G2138" s="8">
        <v>10.4</v>
      </c>
      <c r="H2138" s="6"/>
    </row>
    <row r="2139" spans="1:8">
      <c r="A2139" s="5">
        <v>2263</v>
      </c>
      <c r="B2139" s="6" t="str">
        <f>"彭琳"</f>
        <v>彭琳</v>
      </c>
      <c r="C2139" s="6" t="str">
        <f t="shared" si="101"/>
        <v>女</v>
      </c>
      <c r="D2139" s="6" t="str">
        <f>"202127012903"</f>
        <v>202127012903</v>
      </c>
      <c r="E2139" s="10" t="s">
        <v>27</v>
      </c>
      <c r="F2139" s="6" t="s">
        <v>9</v>
      </c>
      <c r="G2139" s="8">
        <v>65.2</v>
      </c>
      <c r="H2139" s="6"/>
    </row>
    <row r="2140" spans="1:8">
      <c r="A2140" s="5">
        <v>2281</v>
      </c>
      <c r="B2140" s="6" t="str">
        <f>"李玉玲"</f>
        <v>李玉玲</v>
      </c>
      <c r="C2140" s="6" t="str">
        <f t="shared" si="101"/>
        <v>女</v>
      </c>
      <c r="D2140" s="6" t="str">
        <f>"202127012904"</f>
        <v>202127012904</v>
      </c>
      <c r="E2140" s="10" t="s">
        <v>27</v>
      </c>
      <c r="F2140" s="6" t="s">
        <v>9</v>
      </c>
      <c r="G2140" s="8">
        <v>66</v>
      </c>
      <c r="H2140" s="6"/>
    </row>
    <row r="2141" spans="1:8">
      <c r="A2141" s="5">
        <v>1995</v>
      </c>
      <c r="B2141" s="6" t="str">
        <f>"王妙玉"</f>
        <v>王妙玉</v>
      </c>
      <c r="C2141" s="6" t="str">
        <f t="shared" si="101"/>
        <v>女</v>
      </c>
      <c r="D2141" s="6" t="str">
        <f>"202127012905"</f>
        <v>202127012905</v>
      </c>
      <c r="E2141" s="10" t="s">
        <v>27</v>
      </c>
      <c r="F2141" s="6" t="s">
        <v>9</v>
      </c>
      <c r="G2141" s="8">
        <v>59.8</v>
      </c>
      <c r="H2141" s="6"/>
    </row>
    <row r="2142" spans="1:8">
      <c r="A2142" s="5">
        <v>2021</v>
      </c>
      <c r="B2142" s="6" t="str">
        <f>"范兰兰"</f>
        <v>范兰兰</v>
      </c>
      <c r="C2142" s="6" t="str">
        <f t="shared" si="101"/>
        <v>女</v>
      </c>
      <c r="D2142" s="6" t="str">
        <f>"202127012906"</f>
        <v>202127012906</v>
      </c>
      <c r="E2142" s="10" t="s">
        <v>27</v>
      </c>
      <c r="F2142" s="6" t="s">
        <v>9</v>
      </c>
      <c r="G2142" s="8">
        <v>56.8</v>
      </c>
      <c r="H2142" s="6"/>
    </row>
    <row r="2143" spans="1:8">
      <c r="A2143" s="5">
        <v>2076</v>
      </c>
      <c r="B2143" s="6" t="str">
        <f>"罗敏"</f>
        <v>罗敏</v>
      </c>
      <c r="C2143" s="6" t="str">
        <f t="shared" si="101"/>
        <v>女</v>
      </c>
      <c r="D2143" s="6" t="str">
        <f>"202127012907"</f>
        <v>202127012907</v>
      </c>
      <c r="E2143" s="10" t="s">
        <v>27</v>
      </c>
      <c r="F2143" s="6" t="s">
        <v>9</v>
      </c>
      <c r="G2143" s="8">
        <v>61.25</v>
      </c>
      <c r="H2143" s="6"/>
    </row>
    <row r="2144" spans="1:8">
      <c r="A2144" s="5">
        <v>1820</v>
      </c>
      <c r="B2144" s="6" t="str">
        <f>"贺文静"</f>
        <v>贺文静</v>
      </c>
      <c r="C2144" s="6" t="str">
        <f t="shared" si="101"/>
        <v>女</v>
      </c>
      <c r="D2144" s="6" t="str">
        <f>"202127012908"</f>
        <v>202127012908</v>
      </c>
      <c r="E2144" s="10" t="s">
        <v>27</v>
      </c>
      <c r="F2144" s="6" t="s">
        <v>9</v>
      </c>
      <c r="G2144" s="8">
        <v>50.25</v>
      </c>
      <c r="H2144" s="6"/>
    </row>
    <row r="2145" spans="1:8">
      <c r="A2145" s="5">
        <v>1815</v>
      </c>
      <c r="B2145" s="6" t="str">
        <f>"姚姻"</f>
        <v>姚姻</v>
      </c>
      <c r="C2145" s="6" t="str">
        <f t="shared" si="101"/>
        <v>女</v>
      </c>
      <c r="D2145" s="6" t="str">
        <f>"202127012909"</f>
        <v>202127012909</v>
      </c>
      <c r="E2145" s="10" t="s">
        <v>27</v>
      </c>
      <c r="F2145" s="6" t="s">
        <v>9</v>
      </c>
      <c r="G2145" s="8">
        <v>54.75</v>
      </c>
      <c r="H2145" s="6"/>
    </row>
    <row r="2146" spans="1:8">
      <c r="A2146" s="5">
        <v>1801</v>
      </c>
      <c r="B2146" s="6" t="str">
        <f>"曾琪"</f>
        <v>曾琪</v>
      </c>
      <c r="C2146" s="6" t="str">
        <f t="shared" si="101"/>
        <v>女</v>
      </c>
      <c r="D2146" s="6" t="str">
        <f>"202127012910"</f>
        <v>202127012910</v>
      </c>
      <c r="E2146" s="10" t="s">
        <v>27</v>
      </c>
      <c r="F2146" s="6" t="s">
        <v>9</v>
      </c>
      <c r="G2146" s="8">
        <v>59.45</v>
      </c>
      <c r="H2146" s="6"/>
    </row>
    <row r="2147" spans="1:8">
      <c r="A2147" s="5">
        <v>2180</v>
      </c>
      <c r="B2147" s="6" t="str">
        <f>"朱红丽"</f>
        <v>朱红丽</v>
      </c>
      <c r="C2147" s="6" t="str">
        <f t="shared" si="101"/>
        <v>女</v>
      </c>
      <c r="D2147" s="6" t="str">
        <f>"202127012911"</f>
        <v>202127012911</v>
      </c>
      <c r="E2147" s="10" t="s">
        <v>27</v>
      </c>
      <c r="F2147" s="6" t="s">
        <v>9</v>
      </c>
      <c r="G2147" s="8">
        <v>55.9</v>
      </c>
      <c r="H2147" s="6"/>
    </row>
    <row r="2148" spans="1:8">
      <c r="A2148" s="5">
        <v>2171</v>
      </c>
      <c r="B2148" s="6" t="str">
        <f>"陈懿姝"</f>
        <v>陈懿姝</v>
      </c>
      <c r="C2148" s="6" t="str">
        <f t="shared" si="101"/>
        <v>女</v>
      </c>
      <c r="D2148" s="6" t="str">
        <f>"202127012912"</f>
        <v>202127012912</v>
      </c>
      <c r="E2148" s="10" t="s">
        <v>27</v>
      </c>
      <c r="F2148" s="6" t="s">
        <v>9</v>
      </c>
      <c r="G2148" s="8">
        <v>54.45</v>
      </c>
      <c r="H2148" s="6"/>
    </row>
    <row r="2149" spans="1:8">
      <c r="A2149" s="5">
        <v>1884</v>
      </c>
      <c r="B2149" s="6" t="str">
        <f>"柳园"</f>
        <v>柳园</v>
      </c>
      <c r="C2149" s="6" t="str">
        <f t="shared" si="101"/>
        <v>女</v>
      </c>
      <c r="D2149" s="6" t="str">
        <f>"202127012913"</f>
        <v>202127012913</v>
      </c>
      <c r="E2149" s="10" t="s">
        <v>27</v>
      </c>
      <c r="F2149" s="6" t="s">
        <v>9</v>
      </c>
      <c r="G2149" s="8">
        <v>62.95</v>
      </c>
      <c r="H2149" s="6"/>
    </row>
    <row r="2150" spans="1:8">
      <c r="A2150" s="5">
        <v>2061</v>
      </c>
      <c r="B2150" s="6" t="str">
        <f>"艾婕"</f>
        <v>艾婕</v>
      </c>
      <c r="C2150" s="6" t="str">
        <f t="shared" si="101"/>
        <v>女</v>
      </c>
      <c r="D2150" s="6" t="str">
        <f>"202127012914"</f>
        <v>202127012914</v>
      </c>
      <c r="E2150" s="10" t="s">
        <v>27</v>
      </c>
      <c r="F2150" s="6" t="s">
        <v>9</v>
      </c>
      <c r="G2150" s="8">
        <v>67.349999999999994</v>
      </c>
      <c r="H2150" s="6"/>
    </row>
    <row r="2151" spans="1:8">
      <c r="A2151" s="5">
        <v>2319</v>
      </c>
      <c r="B2151" s="6" t="str">
        <f>"伍柯穆"</f>
        <v>伍柯穆</v>
      </c>
      <c r="C2151" s="6" t="str">
        <f t="shared" si="101"/>
        <v>女</v>
      </c>
      <c r="D2151" s="6" t="str">
        <f>"202127012915"</f>
        <v>202127012915</v>
      </c>
      <c r="E2151" s="10" t="s">
        <v>27</v>
      </c>
      <c r="F2151" s="6" t="s">
        <v>9</v>
      </c>
      <c r="G2151" s="8">
        <v>57.6</v>
      </c>
      <c r="H2151" s="6"/>
    </row>
    <row r="2152" spans="1:8">
      <c r="A2152" s="5">
        <v>2089</v>
      </c>
      <c r="B2152" s="6" t="str">
        <f>"肖婷"</f>
        <v>肖婷</v>
      </c>
      <c r="C2152" s="6" t="str">
        <f t="shared" si="101"/>
        <v>女</v>
      </c>
      <c r="D2152" s="6" t="str">
        <f>"202127012916"</f>
        <v>202127012916</v>
      </c>
      <c r="E2152" s="10" t="s">
        <v>27</v>
      </c>
      <c r="F2152" s="6" t="s">
        <v>9</v>
      </c>
      <c r="G2152" s="8">
        <v>68.2</v>
      </c>
      <c r="H2152" s="6"/>
    </row>
    <row r="2153" spans="1:8">
      <c r="A2153" s="5">
        <v>2101</v>
      </c>
      <c r="B2153" s="6" t="str">
        <f>"杨帆"</f>
        <v>杨帆</v>
      </c>
      <c r="C2153" s="6" t="str">
        <f t="shared" si="101"/>
        <v>女</v>
      </c>
      <c r="D2153" s="6" t="str">
        <f>"202127012917"</f>
        <v>202127012917</v>
      </c>
      <c r="E2153" s="10" t="s">
        <v>27</v>
      </c>
      <c r="F2153" s="6" t="s">
        <v>9</v>
      </c>
      <c r="G2153" s="8">
        <v>58.9</v>
      </c>
      <c r="H2153" s="6"/>
    </row>
    <row r="2154" spans="1:8">
      <c r="A2154" s="5">
        <v>1859</v>
      </c>
      <c r="B2154" s="6" t="str">
        <f>"徐业孟"</f>
        <v>徐业孟</v>
      </c>
      <c r="C2154" s="6" t="str">
        <f>"男"</f>
        <v>男</v>
      </c>
      <c r="D2154" s="6" t="str">
        <f>"202127012918"</f>
        <v>202127012918</v>
      </c>
      <c r="E2154" s="10" t="s">
        <v>27</v>
      </c>
      <c r="F2154" s="6" t="s">
        <v>9</v>
      </c>
      <c r="G2154" s="8">
        <v>0</v>
      </c>
      <c r="H2154" s="9">
        <v>1</v>
      </c>
    </row>
    <row r="2155" spans="1:8">
      <c r="A2155" s="5">
        <v>2017</v>
      </c>
      <c r="B2155" s="6" t="str">
        <f>"肖春明"</f>
        <v>肖春明</v>
      </c>
      <c r="C2155" s="6" t="str">
        <f t="shared" ref="C2155:C2177" si="102">"女"</f>
        <v>女</v>
      </c>
      <c r="D2155" s="6" t="str">
        <f>"202127012919"</f>
        <v>202127012919</v>
      </c>
      <c r="E2155" s="10" t="s">
        <v>27</v>
      </c>
      <c r="F2155" s="6" t="s">
        <v>9</v>
      </c>
      <c r="G2155" s="8">
        <v>53.65</v>
      </c>
      <c r="H2155" s="6"/>
    </row>
    <row r="2156" spans="1:8">
      <c r="A2156" s="5">
        <v>2187</v>
      </c>
      <c r="B2156" s="6" t="str">
        <f>"唐兰"</f>
        <v>唐兰</v>
      </c>
      <c r="C2156" s="6" t="str">
        <f t="shared" si="102"/>
        <v>女</v>
      </c>
      <c r="D2156" s="6" t="str">
        <f>"202127012920"</f>
        <v>202127012920</v>
      </c>
      <c r="E2156" s="10" t="s">
        <v>27</v>
      </c>
      <c r="F2156" s="6" t="s">
        <v>9</v>
      </c>
      <c r="G2156" s="8">
        <v>56.15</v>
      </c>
      <c r="H2156" s="6"/>
    </row>
    <row r="2157" spans="1:8">
      <c r="A2157" s="5">
        <v>2015</v>
      </c>
      <c r="B2157" s="6" t="str">
        <f>"刘芸"</f>
        <v>刘芸</v>
      </c>
      <c r="C2157" s="6" t="str">
        <f t="shared" si="102"/>
        <v>女</v>
      </c>
      <c r="D2157" s="6" t="str">
        <f>"202127012921"</f>
        <v>202127012921</v>
      </c>
      <c r="E2157" s="10" t="s">
        <v>27</v>
      </c>
      <c r="F2157" s="6" t="s">
        <v>9</v>
      </c>
      <c r="G2157" s="8">
        <v>48.8</v>
      </c>
      <c r="H2157" s="6"/>
    </row>
    <row r="2158" spans="1:8">
      <c r="A2158" s="5">
        <v>2384</v>
      </c>
      <c r="B2158" s="6" t="str">
        <f>"刘玉姣"</f>
        <v>刘玉姣</v>
      </c>
      <c r="C2158" s="6" t="str">
        <f t="shared" si="102"/>
        <v>女</v>
      </c>
      <c r="D2158" s="6" t="str">
        <f>"202127012922"</f>
        <v>202127012922</v>
      </c>
      <c r="E2158" s="10" t="s">
        <v>27</v>
      </c>
      <c r="F2158" s="6" t="s">
        <v>9</v>
      </c>
      <c r="G2158" s="8">
        <v>54.75</v>
      </c>
      <c r="H2158" s="6"/>
    </row>
    <row r="2159" spans="1:8">
      <c r="A2159" s="5">
        <v>2039</v>
      </c>
      <c r="B2159" s="6" t="str">
        <f>"谢明花"</f>
        <v>谢明花</v>
      </c>
      <c r="C2159" s="6" t="str">
        <f t="shared" si="102"/>
        <v>女</v>
      </c>
      <c r="D2159" s="6" t="str">
        <f>"202127012923"</f>
        <v>202127012923</v>
      </c>
      <c r="E2159" s="10" t="s">
        <v>27</v>
      </c>
      <c r="F2159" s="6" t="s">
        <v>9</v>
      </c>
      <c r="G2159" s="8">
        <v>64.7</v>
      </c>
      <c r="H2159" s="6"/>
    </row>
    <row r="2160" spans="1:8">
      <c r="A2160" s="5">
        <v>2439</v>
      </c>
      <c r="B2160" s="6" t="str">
        <f>"王曦"</f>
        <v>王曦</v>
      </c>
      <c r="C2160" s="6" t="str">
        <f t="shared" si="102"/>
        <v>女</v>
      </c>
      <c r="D2160" s="6" t="str">
        <f>"202127012924"</f>
        <v>202127012924</v>
      </c>
      <c r="E2160" s="10" t="s">
        <v>27</v>
      </c>
      <c r="F2160" s="6" t="s">
        <v>9</v>
      </c>
      <c r="G2160" s="8">
        <v>57.55</v>
      </c>
      <c r="H2160" s="6"/>
    </row>
    <row r="2161" spans="1:8">
      <c r="A2161" s="5">
        <v>2228</v>
      </c>
      <c r="B2161" s="6" t="str">
        <f>"马烛"</f>
        <v>马烛</v>
      </c>
      <c r="C2161" s="6" t="str">
        <f t="shared" si="102"/>
        <v>女</v>
      </c>
      <c r="D2161" s="6" t="str">
        <f>"202127012925"</f>
        <v>202127012925</v>
      </c>
      <c r="E2161" s="10" t="s">
        <v>27</v>
      </c>
      <c r="F2161" s="6" t="s">
        <v>9</v>
      </c>
      <c r="G2161" s="8">
        <v>67</v>
      </c>
      <c r="H2161" s="6"/>
    </row>
    <row r="2162" spans="1:8">
      <c r="A2162" s="5">
        <v>2116</v>
      </c>
      <c r="B2162" s="6" t="str">
        <f>"曾虔文"</f>
        <v>曾虔文</v>
      </c>
      <c r="C2162" s="6" t="str">
        <f t="shared" si="102"/>
        <v>女</v>
      </c>
      <c r="D2162" s="6" t="str">
        <f>"202127012926"</f>
        <v>202127012926</v>
      </c>
      <c r="E2162" s="10" t="s">
        <v>27</v>
      </c>
      <c r="F2162" s="6" t="s">
        <v>9</v>
      </c>
      <c r="G2162" s="8">
        <v>48.05</v>
      </c>
      <c r="H2162" s="6"/>
    </row>
    <row r="2163" spans="1:8">
      <c r="A2163" s="5">
        <v>2248</v>
      </c>
      <c r="B2163" s="6" t="str">
        <f>"付敏"</f>
        <v>付敏</v>
      </c>
      <c r="C2163" s="6" t="str">
        <f t="shared" si="102"/>
        <v>女</v>
      </c>
      <c r="D2163" s="6" t="str">
        <f>"202127012927"</f>
        <v>202127012927</v>
      </c>
      <c r="E2163" s="10" t="s">
        <v>27</v>
      </c>
      <c r="F2163" s="6" t="s">
        <v>9</v>
      </c>
      <c r="G2163" s="8">
        <v>55.95</v>
      </c>
      <c r="H2163" s="6"/>
    </row>
    <row r="2164" spans="1:8">
      <c r="A2164" s="5">
        <v>2004</v>
      </c>
      <c r="B2164" s="6" t="str">
        <f>"陈苗苗"</f>
        <v>陈苗苗</v>
      </c>
      <c r="C2164" s="6" t="str">
        <f t="shared" si="102"/>
        <v>女</v>
      </c>
      <c r="D2164" s="6" t="str">
        <f>"202127012928"</f>
        <v>202127012928</v>
      </c>
      <c r="E2164" s="10" t="s">
        <v>27</v>
      </c>
      <c r="F2164" s="6" t="s">
        <v>9</v>
      </c>
      <c r="G2164" s="8">
        <v>57.4</v>
      </c>
      <c r="H2164" s="6"/>
    </row>
    <row r="2165" spans="1:8">
      <c r="A2165" s="5">
        <v>2401</v>
      </c>
      <c r="B2165" s="6" t="str">
        <f>"秦牧瑶"</f>
        <v>秦牧瑶</v>
      </c>
      <c r="C2165" s="6" t="str">
        <f t="shared" si="102"/>
        <v>女</v>
      </c>
      <c r="D2165" s="6" t="str">
        <f>"202127012929"</f>
        <v>202127012929</v>
      </c>
      <c r="E2165" s="10" t="s">
        <v>27</v>
      </c>
      <c r="F2165" s="6" t="s">
        <v>9</v>
      </c>
      <c r="G2165" s="8">
        <v>67.150000000000006</v>
      </c>
      <c r="H2165" s="6"/>
    </row>
    <row r="2166" spans="1:8">
      <c r="A2166" s="5">
        <v>1919</v>
      </c>
      <c r="B2166" s="6" t="str">
        <f>"戴敏"</f>
        <v>戴敏</v>
      </c>
      <c r="C2166" s="6" t="str">
        <f t="shared" si="102"/>
        <v>女</v>
      </c>
      <c r="D2166" s="6" t="str">
        <f>"202127012930"</f>
        <v>202127012930</v>
      </c>
      <c r="E2166" s="10" t="s">
        <v>27</v>
      </c>
      <c r="F2166" s="6" t="s">
        <v>9</v>
      </c>
      <c r="G2166" s="8">
        <v>46.35</v>
      </c>
      <c r="H2166" s="6"/>
    </row>
    <row r="2167" spans="1:8">
      <c r="A2167" s="5">
        <v>1912</v>
      </c>
      <c r="B2167" s="6" t="str">
        <f>"夏燕群"</f>
        <v>夏燕群</v>
      </c>
      <c r="C2167" s="6" t="str">
        <f t="shared" si="102"/>
        <v>女</v>
      </c>
      <c r="D2167" s="6" t="str">
        <f>"202127013001"</f>
        <v>202127013001</v>
      </c>
      <c r="E2167" s="10" t="s">
        <v>27</v>
      </c>
      <c r="F2167" s="6" t="s">
        <v>9</v>
      </c>
      <c r="G2167" s="8">
        <v>51.35</v>
      </c>
      <c r="H2167" s="6"/>
    </row>
    <row r="2168" spans="1:8">
      <c r="A2168" s="5">
        <v>2410</v>
      </c>
      <c r="B2168" s="6" t="str">
        <f>"潘泽燕"</f>
        <v>潘泽燕</v>
      </c>
      <c r="C2168" s="6" t="str">
        <f t="shared" si="102"/>
        <v>女</v>
      </c>
      <c r="D2168" s="6" t="str">
        <f>"202127013002"</f>
        <v>202127013002</v>
      </c>
      <c r="E2168" s="10" t="s">
        <v>27</v>
      </c>
      <c r="F2168" s="6" t="s">
        <v>9</v>
      </c>
      <c r="G2168" s="8">
        <v>68.900000000000006</v>
      </c>
      <c r="H2168" s="6"/>
    </row>
    <row r="2169" spans="1:8">
      <c r="A2169" s="5">
        <v>2388</v>
      </c>
      <c r="B2169" s="6" t="str">
        <f>"黄婷婷"</f>
        <v>黄婷婷</v>
      </c>
      <c r="C2169" s="6" t="str">
        <f t="shared" si="102"/>
        <v>女</v>
      </c>
      <c r="D2169" s="6" t="str">
        <f>"202127013003"</f>
        <v>202127013003</v>
      </c>
      <c r="E2169" s="10" t="s">
        <v>27</v>
      </c>
      <c r="F2169" s="6" t="s">
        <v>9</v>
      </c>
      <c r="G2169" s="8">
        <v>58.6</v>
      </c>
      <c r="H2169" s="6"/>
    </row>
    <row r="2170" spans="1:8">
      <c r="A2170" s="5">
        <v>2013</v>
      </c>
      <c r="B2170" s="6" t="str">
        <f>"彭哲明"</f>
        <v>彭哲明</v>
      </c>
      <c r="C2170" s="6" t="str">
        <f t="shared" si="102"/>
        <v>女</v>
      </c>
      <c r="D2170" s="6" t="str">
        <f>"202127013004"</f>
        <v>202127013004</v>
      </c>
      <c r="E2170" s="10" t="s">
        <v>27</v>
      </c>
      <c r="F2170" s="6" t="s">
        <v>9</v>
      </c>
      <c r="G2170" s="8">
        <v>49.1</v>
      </c>
      <c r="H2170" s="6"/>
    </row>
    <row r="2171" spans="1:8">
      <c r="A2171" s="5">
        <v>2033</v>
      </c>
      <c r="B2171" s="6" t="str">
        <f>"姚云芳"</f>
        <v>姚云芳</v>
      </c>
      <c r="C2171" s="6" t="str">
        <f t="shared" si="102"/>
        <v>女</v>
      </c>
      <c r="D2171" s="6" t="str">
        <f>"202127013005"</f>
        <v>202127013005</v>
      </c>
      <c r="E2171" s="10" t="s">
        <v>27</v>
      </c>
      <c r="F2171" s="6" t="s">
        <v>9</v>
      </c>
      <c r="G2171" s="8">
        <v>56.5</v>
      </c>
      <c r="H2171" s="6"/>
    </row>
    <row r="2172" spans="1:8">
      <c r="A2172" s="5">
        <v>2312</v>
      </c>
      <c r="B2172" s="6" t="str">
        <f>"李伊淇"</f>
        <v>李伊淇</v>
      </c>
      <c r="C2172" s="6" t="str">
        <f t="shared" si="102"/>
        <v>女</v>
      </c>
      <c r="D2172" s="6" t="str">
        <f>"202127013006"</f>
        <v>202127013006</v>
      </c>
      <c r="E2172" s="10" t="s">
        <v>27</v>
      </c>
      <c r="F2172" s="6" t="s">
        <v>9</v>
      </c>
      <c r="G2172" s="8">
        <v>39.4</v>
      </c>
      <c r="H2172" s="6"/>
    </row>
    <row r="2173" spans="1:8">
      <c r="A2173" s="5">
        <v>2133</v>
      </c>
      <c r="B2173" s="6" t="str">
        <f>"刘雅颂"</f>
        <v>刘雅颂</v>
      </c>
      <c r="C2173" s="6" t="str">
        <f t="shared" si="102"/>
        <v>女</v>
      </c>
      <c r="D2173" s="6" t="str">
        <f>"202127013007"</f>
        <v>202127013007</v>
      </c>
      <c r="E2173" s="10" t="s">
        <v>27</v>
      </c>
      <c r="F2173" s="6" t="s">
        <v>9</v>
      </c>
      <c r="G2173" s="8">
        <v>54.15</v>
      </c>
      <c r="H2173" s="6"/>
    </row>
    <row r="2174" spans="1:8">
      <c r="A2174" s="5">
        <v>2120</v>
      </c>
      <c r="B2174" s="6" t="str">
        <f>"曾梅"</f>
        <v>曾梅</v>
      </c>
      <c r="C2174" s="6" t="str">
        <f t="shared" si="102"/>
        <v>女</v>
      </c>
      <c r="D2174" s="6" t="str">
        <f>"202127013008"</f>
        <v>202127013008</v>
      </c>
      <c r="E2174" s="10" t="s">
        <v>27</v>
      </c>
      <c r="F2174" s="6" t="s">
        <v>9</v>
      </c>
      <c r="G2174" s="8">
        <v>59</v>
      </c>
      <c r="H2174" s="6"/>
    </row>
    <row r="2175" spans="1:8">
      <c r="A2175" s="5">
        <v>1971</v>
      </c>
      <c r="B2175" s="6" t="str">
        <f>"伍倩"</f>
        <v>伍倩</v>
      </c>
      <c r="C2175" s="6" t="str">
        <f t="shared" si="102"/>
        <v>女</v>
      </c>
      <c r="D2175" s="6" t="str">
        <f>"202127013009"</f>
        <v>202127013009</v>
      </c>
      <c r="E2175" s="10" t="s">
        <v>27</v>
      </c>
      <c r="F2175" s="6" t="s">
        <v>9</v>
      </c>
      <c r="G2175" s="8">
        <v>51.45</v>
      </c>
      <c r="H2175" s="6"/>
    </row>
    <row r="2176" spans="1:8">
      <c r="A2176" s="5">
        <v>2330</v>
      </c>
      <c r="B2176" s="6" t="str">
        <f>"张望珍"</f>
        <v>张望珍</v>
      </c>
      <c r="C2176" s="6" t="str">
        <f t="shared" si="102"/>
        <v>女</v>
      </c>
      <c r="D2176" s="6" t="str">
        <f>"202127013010"</f>
        <v>202127013010</v>
      </c>
      <c r="E2176" s="10" t="s">
        <v>27</v>
      </c>
      <c r="F2176" s="6" t="s">
        <v>9</v>
      </c>
      <c r="G2176" s="8">
        <v>63.05</v>
      </c>
      <c r="H2176" s="6"/>
    </row>
    <row r="2177" spans="1:8">
      <c r="A2177" s="5">
        <v>2217</v>
      </c>
      <c r="B2177" s="6" t="str">
        <f>"贺金玲"</f>
        <v>贺金玲</v>
      </c>
      <c r="C2177" s="6" t="str">
        <f t="shared" si="102"/>
        <v>女</v>
      </c>
      <c r="D2177" s="6" t="str">
        <f>"202127013011"</f>
        <v>202127013011</v>
      </c>
      <c r="E2177" s="10" t="s">
        <v>27</v>
      </c>
      <c r="F2177" s="6" t="s">
        <v>9</v>
      </c>
      <c r="G2177" s="8">
        <v>61.15</v>
      </c>
      <c r="H2177" s="6"/>
    </row>
    <row r="2178" spans="1:8">
      <c r="A2178" s="5">
        <v>1940</v>
      </c>
      <c r="B2178" s="6" t="str">
        <f>"张志锋"</f>
        <v>张志锋</v>
      </c>
      <c r="C2178" s="6" t="str">
        <f>"男"</f>
        <v>男</v>
      </c>
      <c r="D2178" s="6" t="str">
        <f>"202127013012"</f>
        <v>202127013012</v>
      </c>
      <c r="E2178" s="10" t="s">
        <v>27</v>
      </c>
      <c r="F2178" s="6" t="s">
        <v>9</v>
      </c>
      <c r="G2178" s="8">
        <v>56.4</v>
      </c>
      <c r="H2178" s="6"/>
    </row>
    <row r="2179" spans="1:8">
      <c r="A2179" s="5">
        <v>2062</v>
      </c>
      <c r="B2179" s="6" t="str">
        <f>"夏雅玲"</f>
        <v>夏雅玲</v>
      </c>
      <c r="C2179" s="6" t="str">
        <f t="shared" ref="C2179:C2210" si="103">"女"</f>
        <v>女</v>
      </c>
      <c r="D2179" s="6" t="str">
        <f>"202127013013"</f>
        <v>202127013013</v>
      </c>
      <c r="E2179" s="10" t="s">
        <v>27</v>
      </c>
      <c r="F2179" s="6" t="s">
        <v>9</v>
      </c>
      <c r="G2179" s="8">
        <v>57.85</v>
      </c>
      <c r="H2179" s="6"/>
    </row>
    <row r="2180" spans="1:8">
      <c r="A2180" s="5">
        <v>2431</v>
      </c>
      <c r="B2180" s="6" t="str">
        <f>"莫艳"</f>
        <v>莫艳</v>
      </c>
      <c r="C2180" s="6" t="str">
        <f t="shared" si="103"/>
        <v>女</v>
      </c>
      <c r="D2180" s="6" t="str">
        <f>"202127013014"</f>
        <v>202127013014</v>
      </c>
      <c r="E2180" s="10" t="s">
        <v>27</v>
      </c>
      <c r="F2180" s="6" t="s">
        <v>9</v>
      </c>
      <c r="G2180" s="8">
        <v>57.65</v>
      </c>
      <c r="H2180" s="6"/>
    </row>
    <row r="2181" spans="1:8">
      <c r="A2181" s="5">
        <v>2233</v>
      </c>
      <c r="B2181" s="6" t="str">
        <f>"刘瑶"</f>
        <v>刘瑶</v>
      </c>
      <c r="C2181" s="6" t="str">
        <f t="shared" si="103"/>
        <v>女</v>
      </c>
      <c r="D2181" s="6" t="str">
        <f>"202127013015"</f>
        <v>202127013015</v>
      </c>
      <c r="E2181" s="10" t="s">
        <v>27</v>
      </c>
      <c r="F2181" s="6" t="s">
        <v>9</v>
      </c>
      <c r="G2181" s="8">
        <v>49.25</v>
      </c>
      <c r="H2181" s="6"/>
    </row>
    <row r="2182" spans="1:8">
      <c r="A2182" s="5">
        <v>2381</v>
      </c>
      <c r="B2182" s="6" t="str">
        <f>"陈倩"</f>
        <v>陈倩</v>
      </c>
      <c r="C2182" s="6" t="str">
        <f t="shared" si="103"/>
        <v>女</v>
      </c>
      <c r="D2182" s="6" t="str">
        <f>"202127013016"</f>
        <v>202127013016</v>
      </c>
      <c r="E2182" s="10" t="s">
        <v>27</v>
      </c>
      <c r="F2182" s="6" t="s">
        <v>9</v>
      </c>
      <c r="G2182" s="8">
        <v>65.150000000000006</v>
      </c>
      <c r="H2182" s="6"/>
    </row>
    <row r="2183" spans="1:8">
      <c r="A2183" s="5">
        <v>2416</v>
      </c>
      <c r="B2183" s="6" t="str">
        <f>"夏萍"</f>
        <v>夏萍</v>
      </c>
      <c r="C2183" s="6" t="str">
        <f t="shared" si="103"/>
        <v>女</v>
      </c>
      <c r="D2183" s="6" t="str">
        <f>"202127013017"</f>
        <v>202127013017</v>
      </c>
      <c r="E2183" s="10" t="s">
        <v>27</v>
      </c>
      <c r="F2183" s="6" t="s">
        <v>9</v>
      </c>
      <c r="G2183" s="8">
        <v>62.4</v>
      </c>
      <c r="H2183" s="6"/>
    </row>
    <row r="2184" spans="1:8">
      <c r="A2184" s="5">
        <v>1808</v>
      </c>
      <c r="B2184" s="6" t="str">
        <f>"黄海叶"</f>
        <v>黄海叶</v>
      </c>
      <c r="C2184" s="6" t="str">
        <f t="shared" si="103"/>
        <v>女</v>
      </c>
      <c r="D2184" s="6" t="str">
        <f>"202127013018"</f>
        <v>202127013018</v>
      </c>
      <c r="E2184" s="10" t="s">
        <v>27</v>
      </c>
      <c r="F2184" s="6" t="s">
        <v>9</v>
      </c>
      <c r="G2184" s="8">
        <v>57.9</v>
      </c>
      <c r="H2184" s="6"/>
    </row>
    <row r="2185" spans="1:8">
      <c r="A2185" s="5">
        <v>2325</v>
      </c>
      <c r="B2185" s="6" t="str">
        <f>"石枫"</f>
        <v>石枫</v>
      </c>
      <c r="C2185" s="6" t="str">
        <f t="shared" si="103"/>
        <v>女</v>
      </c>
      <c r="D2185" s="6" t="str">
        <f>"202127013019"</f>
        <v>202127013019</v>
      </c>
      <c r="E2185" s="10" t="s">
        <v>27</v>
      </c>
      <c r="F2185" s="6" t="s">
        <v>9</v>
      </c>
      <c r="G2185" s="8">
        <v>53.95</v>
      </c>
      <c r="H2185" s="6"/>
    </row>
    <row r="2186" spans="1:8">
      <c r="A2186" s="5">
        <v>2442</v>
      </c>
      <c r="B2186" s="6" t="str">
        <f>"李心倩"</f>
        <v>李心倩</v>
      </c>
      <c r="C2186" s="6" t="str">
        <f t="shared" si="103"/>
        <v>女</v>
      </c>
      <c r="D2186" s="6" t="str">
        <f>"202127013020"</f>
        <v>202127013020</v>
      </c>
      <c r="E2186" s="10" t="s">
        <v>27</v>
      </c>
      <c r="F2186" s="6" t="s">
        <v>9</v>
      </c>
      <c r="G2186" s="8">
        <v>60.3</v>
      </c>
      <c r="H2186" s="6"/>
    </row>
    <row r="2187" spans="1:8">
      <c r="A2187" s="5">
        <v>1795</v>
      </c>
      <c r="B2187" s="6" t="str">
        <f>"孙明霞"</f>
        <v>孙明霞</v>
      </c>
      <c r="C2187" s="6" t="str">
        <f t="shared" si="103"/>
        <v>女</v>
      </c>
      <c r="D2187" s="6" t="str">
        <f>"202127013021"</f>
        <v>202127013021</v>
      </c>
      <c r="E2187" s="10" t="s">
        <v>27</v>
      </c>
      <c r="F2187" s="6" t="s">
        <v>9</v>
      </c>
      <c r="G2187" s="8">
        <v>58.2</v>
      </c>
      <c r="H2187" s="6"/>
    </row>
    <row r="2188" spans="1:8">
      <c r="A2188" s="5">
        <v>2073</v>
      </c>
      <c r="B2188" s="6" t="str">
        <f>"蔡瑜璇"</f>
        <v>蔡瑜璇</v>
      </c>
      <c r="C2188" s="6" t="str">
        <f t="shared" si="103"/>
        <v>女</v>
      </c>
      <c r="D2188" s="6" t="str">
        <f>"202127013022"</f>
        <v>202127013022</v>
      </c>
      <c r="E2188" s="10" t="s">
        <v>27</v>
      </c>
      <c r="F2188" s="6" t="s">
        <v>9</v>
      </c>
      <c r="G2188" s="8">
        <v>58.15</v>
      </c>
      <c r="H2188" s="6"/>
    </row>
    <row r="2189" spans="1:8">
      <c r="A2189" s="5">
        <v>1948</v>
      </c>
      <c r="B2189" s="6" t="str">
        <f>"禹李纯子"</f>
        <v>禹李纯子</v>
      </c>
      <c r="C2189" s="6" t="str">
        <f t="shared" si="103"/>
        <v>女</v>
      </c>
      <c r="D2189" s="6" t="str">
        <f>"202127013023"</f>
        <v>202127013023</v>
      </c>
      <c r="E2189" s="10" t="s">
        <v>27</v>
      </c>
      <c r="F2189" s="6" t="s">
        <v>9</v>
      </c>
      <c r="G2189" s="8">
        <v>51.65</v>
      </c>
      <c r="H2189" s="6"/>
    </row>
    <row r="2190" spans="1:8">
      <c r="A2190" s="5">
        <v>1788</v>
      </c>
      <c r="B2190" s="6" t="str">
        <f>"唐思怡"</f>
        <v>唐思怡</v>
      </c>
      <c r="C2190" s="6" t="str">
        <f t="shared" si="103"/>
        <v>女</v>
      </c>
      <c r="D2190" s="6" t="str">
        <f>"202127013024"</f>
        <v>202127013024</v>
      </c>
      <c r="E2190" s="10" t="s">
        <v>27</v>
      </c>
      <c r="F2190" s="6" t="s">
        <v>9</v>
      </c>
      <c r="G2190" s="8">
        <v>61.9</v>
      </c>
      <c r="H2190" s="6"/>
    </row>
    <row r="2191" spans="1:8">
      <c r="A2191" s="5">
        <v>2334</v>
      </c>
      <c r="B2191" s="6" t="str">
        <f>"刘静"</f>
        <v>刘静</v>
      </c>
      <c r="C2191" s="6" t="str">
        <f t="shared" si="103"/>
        <v>女</v>
      </c>
      <c r="D2191" s="6" t="str">
        <f>"202127013025"</f>
        <v>202127013025</v>
      </c>
      <c r="E2191" s="10" t="s">
        <v>27</v>
      </c>
      <c r="F2191" s="6" t="s">
        <v>9</v>
      </c>
      <c r="G2191" s="8">
        <v>56.15</v>
      </c>
      <c r="H2191" s="6"/>
    </row>
    <row r="2192" spans="1:8">
      <c r="A2192" s="5">
        <v>2329</v>
      </c>
      <c r="B2192" s="6" t="str">
        <f>"阳祝"</f>
        <v>阳祝</v>
      </c>
      <c r="C2192" s="6" t="str">
        <f t="shared" si="103"/>
        <v>女</v>
      </c>
      <c r="D2192" s="6" t="str">
        <f>"202127013026"</f>
        <v>202127013026</v>
      </c>
      <c r="E2192" s="10" t="s">
        <v>27</v>
      </c>
      <c r="F2192" s="6" t="s">
        <v>9</v>
      </c>
      <c r="G2192" s="8">
        <v>58.25</v>
      </c>
      <c r="H2192" s="6"/>
    </row>
    <row r="2193" spans="1:8">
      <c r="A2193" s="5">
        <v>2042</v>
      </c>
      <c r="B2193" s="6" t="str">
        <f>"肖湘艳"</f>
        <v>肖湘艳</v>
      </c>
      <c r="C2193" s="6" t="str">
        <f t="shared" si="103"/>
        <v>女</v>
      </c>
      <c r="D2193" s="6" t="str">
        <f>"202127013027"</f>
        <v>202127013027</v>
      </c>
      <c r="E2193" s="10" t="s">
        <v>27</v>
      </c>
      <c r="F2193" s="6" t="s">
        <v>9</v>
      </c>
      <c r="G2193" s="8">
        <v>58.25</v>
      </c>
      <c r="H2193" s="6"/>
    </row>
    <row r="2194" spans="1:8">
      <c r="A2194" s="5">
        <v>2025</v>
      </c>
      <c r="B2194" s="6" t="str">
        <f>"赵敏"</f>
        <v>赵敏</v>
      </c>
      <c r="C2194" s="6" t="str">
        <f t="shared" si="103"/>
        <v>女</v>
      </c>
      <c r="D2194" s="6" t="str">
        <f>"202127013028"</f>
        <v>202127013028</v>
      </c>
      <c r="E2194" s="10" t="s">
        <v>27</v>
      </c>
      <c r="F2194" s="6" t="s">
        <v>9</v>
      </c>
      <c r="G2194" s="8">
        <v>55.45</v>
      </c>
      <c r="H2194" s="6"/>
    </row>
    <row r="2195" spans="1:8">
      <c r="A2195" s="5">
        <v>2426</v>
      </c>
      <c r="B2195" s="6" t="str">
        <f>"佘慧敏"</f>
        <v>佘慧敏</v>
      </c>
      <c r="C2195" s="6" t="str">
        <f t="shared" si="103"/>
        <v>女</v>
      </c>
      <c r="D2195" s="6" t="str">
        <f>"202127013029"</f>
        <v>202127013029</v>
      </c>
      <c r="E2195" s="10" t="s">
        <v>27</v>
      </c>
      <c r="F2195" s="6" t="s">
        <v>9</v>
      </c>
      <c r="G2195" s="8">
        <v>59.75</v>
      </c>
      <c r="H2195" s="6"/>
    </row>
    <row r="2196" spans="1:8">
      <c r="A2196" s="5">
        <v>1950</v>
      </c>
      <c r="B2196" s="6" t="str">
        <f>"邓匀波"</f>
        <v>邓匀波</v>
      </c>
      <c r="C2196" s="6" t="str">
        <f t="shared" si="103"/>
        <v>女</v>
      </c>
      <c r="D2196" s="6" t="str">
        <f>"202127013030"</f>
        <v>202127013030</v>
      </c>
      <c r="E2196" s="10" t="s">
        <v>27</v>
      </c>
      <c r="F2196" s="6" t="s">
        <v>9</v>
      </c>
      <c r="G2196" s="8">
        <v>0</v>
      </c>
      <c r="H2196" s="9">
        <v>1</v>
      </c>
    </row>
    <row r="2197" spans="1:8">
      <c r="A2197" s="5">
        <v>2425</v>
      </c>
      <c r="B2197" s="6" t="str">
        <f>"李艳"</f>
        <v>李艳</v>
      </c>
      <c r="C2197" s="6" t="str">
        <f t="shared" si="103"/>
        <v>女</v>
      </c>
      <c r="D2197" s="6" t="str">
        <f>"202127013101"</f>
        <v>202127013101</v>
      </c>
      <c r="E2197" s="10" t="s">
        <v>27</v>
      </c>
      <c r="F2197" s="6" t="s">
        <v>9</v>
      </c>
      <c r="G2197" s="8">
        <v>53.35</v>
      </c>
      <c r="H2197" s="6"/>
    </row>
    <row r="2198" spans="1:8">
      <c r="A2198" s="5">
        <v>1852</v>
      </c>
      <c r="B2198" s="6" t="str">
        <f>"李春花"</f>
        <v>李春花</v>
      </c>
      <c r="C2198" s="6" t="str">
        <f t="shared" si="103"/>
        <v>女</v>
      </c>
      <c r="D2198" s="6" t="str">
        <f>"202127013102"</f>
        <v>202127013102</v>
      </c>
      <c r="E2198" s="10" t="s">
        <v>27</v>
      </c>
      <c r="F2198" s="6" t="s">
        <v>9</v>
      </c>
      <c r="G2198" s="8">
        <v>70.7</v>
      </c>
      <c r="H2198" s="6"/>
    </row>
    <row r="2199" spans="1:8">
      <c r="A2199" s="5">
        <v>2285</v>
      </c>
      <c r="B2199" s="6" t="str">
        <f>"范济玲"</f>
        <v>范济玲</v>
      </c>
      <c r="C2199" s="6" t="str">
        <f t="shared" si="103"/>
        <v>女</v>
      </c>
      <c r="D2199" s="6" t="str">
        <f>"202127013103"</f>
        <v>202127013103</v>
      </c>
      <c r="E2199" s="10" t="s">
        <v>27</v>
      </c>
      <c r="F2199" s="6" t="s">
        <v>9</v>
      </c>
      <c r="G2199" s="8">
        <v>68.45</v>
      </c>
      <c r="H2199" s="6"/>
    </row>
    <row r="2200" spans="1:8">
      <c r="A2200" s="5">
        <v>2003</v>
      </c>
      <c r="B2200" s="6" t="str">
        <f>"杨梅姿"</f>
        <v>杨梅姿</v>
      </c>
      <c r="C2200" s="6" t="str">
        <f t="shared" si="103"/>
        <v>女</v>
      </c>
      <c r="D2200" s="6" t="str">
        <f>"202127013104"</f>
        <v>202127013104</v>
      </c>
      <c r="E2200" s="10" t="s">
        <v>27</v>
      </c>
      <c r="F2200" s="6" t="s">
        <v>9</v>
      </c>
      <c r="G2200" s="8">
        <v>0</v>
      </c>
      <c r="H2200" s="9">
        <v>1</v>
      </c>
    </row>
    <row r="2201" spans="1:8">
      <c r="A2201" s="5">
        <v>1826</v>
      </c>
      <c r="B2201" s="6" t="str">
        <f>"陈溪溪"</f>
        <v>陈溪溪</v>
      </c>
      <c r="C2201" s="6" t="str">
        <f t="shared" si="103"/>
        <v>女</v>
      </c>
      <c r="D2201" s="6" t="str">
        <f>"202127013105"</f>
        <v>202127013105</v>
      </c>
      <c r="E2201" s="10" t="s">
        <v>27</v>
      </c>
      <c r="F2201" s="6" t="s">
        <v>9</v>
      </c>
      <c r="G2201" s="8">
        <v>72.25</v>
      </c>
      <c r="H2201" s="6"/>
    </row>
    <row r="2202" spans="1:8">
      <c r="A2202" s="5">
        <v>2449</v>
      </c>
      <c r="B2202" s="6" t="str">
        <f>"邓昌容"</f>
        <v>邓昌容</v>
      </c>
      <c r="C2202" s="6" t="str">
        <f t="shared" si="103"/>
        <v>女</v>
      </c>
      <c r="D2202" s="6" t="str">
        <f>"202127013106"</f>
        <v>202127013106</v>
      </c>
      <c r="E2202" s="10" t="s">
        <v>27</v>
      </c>
      <c r="F2202" s="6" t="s">
        <v>9</v>
      </c>
      <c r="G2202" s="8">
        <v>69.5</v>
      </c>
      <c r="H2202" s="6"/>
    </row>
    <row r="2203" spans="1:8">
      <c r="A2203" s="5">
        <v>2007</v>
      </c>
      <c r="B2203" s="6" t="str">
        <f>"罗玲"</f>
        <v>罗玲</v>
      </c>
      <c r="C2203" s="6" t="str">
        <f t="shared" si="103"/>
        <v>女</v>
      </c>
      <c r="D2203" s="6" t="str">
        <f>"202127013107"</f>
        <v>202127013107</v>
      </c>
      <c r="E2203" s="10" t="s">
        <v>27</v>
      </c>
      <c r="F2203" s="6" t="s">
        <v>9</v>
      </c>
      <c r="G2203" s="8">
        <v>57.1</v>
      </c>
      <c r="H2203" s="6"/>
    </row>
    <row r="2204" spans="1:8">
      <c r="A2204" s="5">
        <v>2310</v>
      </c>
      <c r="B2204" s="6" t="str">
        <f>"杨丽"</f>
        <v>杨丽</v>
      </c>
      <c r="C2204" s="6" t="str">
        <f t="shared" si="103"/>
        <v>女</v>
      </c>
      <c r="D2204" s="6" t="str">
        <f>"202127013108"</f>
        <v>202127013108</v>
      </c>
      <c r="E2204" s="10" t="s">
        <v>27</v>
      </c>
      <c r="F2204" s="6" t="s">
        <v>9</v>
      </c>
      <c r="G2204" s="8">
        <v>59.05</v>
      </c>
      <c r="H2204" s="6"/>
    </row>
    <row r="2205" spans="1:8">
      <c r="A2205" s="5">
        <v>2078</v>
      </c>
      <c r="B2205" s="6" t="str">
        <f>"孙珍梅"</f>
        <v>孙珍梅</v>
      </c>
      <c r="C2205" s="6" t="str">
        <f t="shared" si="103"/>
        <v>女</v>
      </c>
      <c r="D2205" s="6" t="str">
        <f>"202127013109"</f>
        <v>202127013109</v>
      </c>
      <c r="E2205" s="10" t="s">
        <v>27</v>
      </c>
      <c r="F2205" s="6" t="s">
        <v>9</v>
      </c>
      <c r="G2205" s="8">
        <v>49.55</v>
      </c>
      <c r="H2205" s="6"/>
    </row>
    <row r="2206" spans="1:8">
      <c r="A2206" s="5">
        <v>1844</v>
      </c>
      <c r="B2206" s="6" t="str">
        <f>"黄洁"</f>
        <v>黄洁</v>
      </c>
      <c r="C2206" s="6" t="str">
        <f t="shared" si="103"/>
        <v>女</v>
      </c>
      <c r="D2206" s="6" t="str">
        <f>"202127013110"</f>
        <v>202127013110</v>
      </c>
      <c r="E2206" s="10" t="s">
        <v>27</v>
      </c>
      <c r="F2206" s="6" t="s">
        <v>9</v>
      </c>
      <c r="G2206" s="8">
        <v>55.4</v>
      </c>
      <c r="H2206" s="6"/>
    </row>
    <row r="2207" spans="1:8">
      <c r="A2207" s="5">
        <v>1786</v>
      </c>
      <c r="B2207" s="6" t="str">
        <f>"唐孟"</f>
        <v>唐孟</v>
      </c>
      <c r="C2207" s="6" t="str">
        <f t="shared" si="103"/>
        <v>女</v>
      </c>
      <c r="D2207" s="6" t="str">
        <f>"202127013111"</f>
        <v>202127013111</v>
      </c>
      <c r="E2207" s="10" t="s">
        <v>27</v>
      </c>
      <c r="F2207" s="6" t="s">
        <v>9</v>
      </c>
      <c r="G2207" s="8">
        <v>53.85</v>
      </c>
      <c r="H2207" s="6"/>
    </row>
    <row r="2208" spans="1:8">
      <c r="A2208" s="5">
        <v>2367</v>
      </c>
      <c r="B2208" s="6" t="str">
        <f>"陆莹莹"</f>
        <v>陆莹莹</v>
      </c>
      <c r="C2208" s="6" t="str">
        <f t="shared" si="103"/>
        <v>女</v>
      </c>
      <c r="D2208" s="6" t="str">
        <f>"202127013112"</f>
        <v>202127013112</v>
      </c>
      <c r="E2208" s="10" t="s">
        <v>27</v>
      </c>
      <c r="F2208" s="6" t="s">
        <v>9</v>
      </c>
      <c r="G2208" s="8">
        <v>68</v>
      </c>
      <c r="H2208" s="6"/>
    </row>
    <row r="2209" spans="1:8">
      <c r="A2209" s="5">
        <v>1862</v>
      </c>
      <c r="B2209" s="6" t="str">
        <f>"谢娟"</f>
        <v>谢娟</v>
      </c>
      <c r="C2209" s="6" t="str">
        <f t="shared" si="103"/>
        <v>女</v>
      </c>
      <c r="D2209" s="6" t="str">
        <f>"202127013113"</f>
        <v>202127013113</v>
      </c>
      <c r="E2209" s="10" t="s">
        <v>27</v>
      </c>
      <c r="F2209" s="6" t="s">
        <v>9</v>
      </c>
      <c r="G2209" s="8">
        <v>43.7</v>
      </c>
      <c r="H2209" s="6"/>
    </row>
    <row r="2210" spans="1:8">
      <c r="A2210" s="5">
        <v>2279</v>
      </c>
      <c r="B2210" s="6" t="str">
        <f>"马灵芝"</f>
        <v>马灵芝</v>
      </c>
      <c r="C2210" s="6" t="str">
        <f t="shared" si="103"/>
        <v>女</v>
      </c>
      <c r="D2210" s="6" t="str">
        <f>"202127013114"</f>
        <v>202127013114</v>
      </c>
      <c r="E2210" s="10" t="s">
        <v>27</v>
      </c>
      <c r="F2210" s="6" t="s">
        <v>9</v>
      </c>
      <c r="G2210" s="8">
        <v>60.6</v>
      </c>
      <c r="H2210" s="6"/>
    </row>
    <row r="2211" spans="1:8">
      <c r="A2211" s="5">
        <v>1887</v>
      </c>
      <c r="B2211" s="6" t="str">
        <f>"袁雨情"</f>
        <v>袁雨情</v>
      </c>
      <c r="C2211" s="6" t="str">
        <f t="shared" ref="C2211:C2235" si="104">"女"</f>
        <v>女</v>
      </c>
      <c r="D2211" s="6" t="str">
        <f>"202127013115"</f>
        <v>202127013115</v>
      </c>
      <c r="E2211" s="10" t="s">
        <v>27</v>
      </c>
      <c r="F2211" s="6" t="s">
        <v>9</v>
      </c>
      <c r="G2211" s="8">
        <v>51.75</v>
      </c>
      <c r="H2211" s="6"/>
    </row>
    <row r="2212" spans="1:8">
      <c r="A2212" s="5">
        <v>2069</v>
      </c>
      <c r="B2212" s="6" t="str">
        <f>"李思"</f>
        <v>李思</v>
      </c>
      <c r="C2212" s="6" t="str">
        <f t="shared" si="104"/>
        <v>女</v>
      </c>
      <c r="D2212" s="6" t="str">
        <f>"202127013116"</f>
        <v>202127013116</v>
      </c>
      <c r="E2212" s="10" t="s">
        <v>27</v>
      </c>
      <c r="F2212" s="6" t="s">
        <v>9</v>
      </c>
      <c r="G2212" s="8">
        <v>61</v>
      </c>
      <c r="H2212" s="6"/>
    </row>
    <row r="2213" spans="1:8">
      <c r="A2213" s="5">
        <v>2037</v>
      </c>
      <c r="B2213" s="6" t="str">
        <f>"邓荷花"</f>
        <v>邓荷花</v>
      </c>
      <c r="C2213" s="6" t="str">
        <f t="shared" si="104"/>
        <v>女</v>
      </c>
      <c r="D2213" s="6" t="str">
        <f>"202127013117"</f>
        <v>202127013117</v>
      </c>
      <c r="E2213" s="10" t="s">
        <v>27</v>
      </c>
      <c r="F2213" s="6" t="s">
        <v>9</v>
      </c>
      <c r="G2213" s="8">
        <v>57.5</v>
      </c>
      <c r="H2213" s="6"/>
    </row>
    <row r="2214" spans="1:8">
      <c r="A2214" s="5">
        <v>2293</v>
      </c>
      <c r="B2214" s="6" t="str">
        <f>"唐丽燕"</f>
        <v>唐丽燕</v>
      </c>
      <c r="C2214" s="6" t="str">
        <f t="shared" si="104"/>
        <v>女</v>
      </c>
      <c r="D2214" s="6" t="str">
        <f>"202127013118"</f>
        <v>202127013118</v>
      </c>
      <c r="E2214" s="10" t="s">
        <v>27</v>
      </c>
      <c r="F2214" s="6" t="s">
        <v>9</v>
      </c>
      <c r="G2214" s="8">
        <v>64</v>
      </c>
      <c r="H2214" s="6"/>
    </row>
    <row r="2215" spans="1:8">
      <c r="A2215" s="5">
        <v>2294</v>
      </c>
      <c r="B2215" s="6" t="str">
        <f>"肖淑慧"</f>
        <v>肖淑慧</v>
      </c>
      <c r="C2215" s="6" t="str">
        <f t="shared" si="104"/>
        <v>女</v>
      </c>
      <c r="D2215" s="6" t="str">
        <f>"202127013119"</f>
        <v>202127013119</v>
      </c>
      <c r="E2215" s="10" t="s">
        <v>27</v>
      </c>
      <c r="F2215" s="6" t="s">
        <v>9</v>
      </c>
      <c r="G2215" s="8">
        <v>59.8</v>
      </c>
      <c r="H2215" s="6"/>
    </row>
    <row r="2216" spans="1:8">
      <c r="A2216" s="5">
        <v>2258</v>
      </c>
      <c r="B2216" s="6" t="str">
        <f>"赵媛"</f>
        <v>赵媛</v>
      </c>
      <c r="C2216" s="6" t="str">
        <f t="shared" si="104"/>
        <v>女</v>
      </c>
      <c r="D2216" s="6" t="str">
        <f>"202127013120"</f>
        <v>202127013120</v>
      </c>
      <c r="E2216" s="10" t="s">
        <v>27</v>
      </c>
      <c r="F2216" s="6" t="s">
        <v>9</v>
      </c>
      <c r="G2216" s="8">
        <v>52.7</v>
      </c>
      <c r="H2216" s="6"/>
    </row>
    <row r="2217" spans="1:8">
      <c r="A2217" s="5">
        <v>1780</v>
      </c>
      <c r="B2217" s="6" t="str">
        <f>"黄淑欢"</f>
        <v>黄淑欢</v>
      </c>
      <c r="C2217" s="6" t="str">
        <f t="shared" si="104"/>
        <v>女</v>
      </c>
      <c r="D2217" s="6" t="str">
        <f>"202127013121"</f>
        <v>202127013121</v>
      </c>
      <c r="E2217" s="10" t="s">
        <v>27</v>
      </c>
      <c r="F2217" s="6" t="s">
        <v>9</v>
      </c>
      <c r="G2217" s="8">
        <v>62.2</v>
      </c>
      <c r="H2217" s="6"/>
    </row>
    <row r="2218" spans="1:8">
      <c r="A2218" s="5">
        <v>2032</v>
      </c>
      <c r="B2218" s="6" t="str">
        <f>"戴卓琼"</f>
        <v>戴卓琼</v>
      </c>
      <c r="C2218" s="6" t="str">
        <f t="shared" si="104"/>
        <v>女</v>
      </c>
      <c r="D2218" s="6" t="str">
        <f>"202127013122"</f>
        <v>202127013122</v>
      </c>
      <c r="E2218" s="10" t="s">
        <v>27</v>
      </c>
      <c r="F2218" s="6" t="s">
        <v>9</v>
      </c>
      <c r="G2218" s="8">
        <v>62.5</v>
      </c>
      <c r="H2218" s="6"/>
    </row>
    <row r="2219" spans="1:8">
      <c r="A2219" s="5">
        <v>2420</v>
      </c>
      <c r="B2219" s="6" t="str">
        <f>"张愿"</f>
        <v>张愿</v>
      </c>
      <c r="C2219" s="6" t="str">
        <f t="shared" si="104"/>
        <v>女</v>
      </c>
      <c r="D2219" s="6" t="str">
        <f>"202127013123"</f>
        <v>202127013123</v>
      </c>
      <c r="E2219" s="10" t="s">
        <v>27</v>
      </c>
      <c r="F2219" s="6" t="s">
        <v>9</v>
      </c>
      <c r="G2219" s="8">
        <v>46.1</v>
      </c>
      <c r="H2219" s="6"/>
    </row>
    <row r="2220" spans="1:8">
      <c r="A2220" s="5">
        <v>2182</v>
      </c>
      <c r="B2220" s="6" t="str">
        <f>"杨嘉嘉"</f>
        <v>杨嘉嘉</v>
      </c>
      <c r="C2220" s="6" t="str">
        <f t="shared" si="104"/>
        <v>女</v>
      </c>
      <c r="D2220" s="6" t="str">
        <f>"202127013124"</f>
        <v>202127013124</v>
      </c>
      <c r="E2220" s="10" t="s">
        <v>27</v>
      </c>
      <c r="F2220" s="6" t="s">
        <v>9</v>
      </c>
      <c r="G2220" s="8">
        <v>50.2</v>
      </c>
      <c r="H2220" s="6"/>
    </row>
    <row r="2221" spans="1:8">
      <c r="A2221" s="5">
        <v>2346</v>
      </c>
      <c r="B2221" s="6" t="str">
        <f>"胡玉梅"</f>
        <v>胡玉梅</v>
      </c>
      <c r="C2221" s="6" t="str">
        <f t="shared" si="104"/>
        <v>女</v>
      </c>
      <c r="D2221" s="6" t="str">
        <f>"202127013125"</f>
        <v>202127013125</v>
      </c>
      <c r="E2221" s="10" t="s">
        <v>27</v>
      </c>
      <c r="F2221" s="6" t="s">
        <v>9</v>
      </c>
      <c r="G2221" s="8">
        <v>58.15</v>
      </c>
      <c r="H2221" s="6"/>
    </row>
    <row r="2222" spans="1:8">
      <c r="A2222" s="5">
        <v>1838</v>
      </c>
      <c r="B2222" s="6" t="str">
        <f>"王宁"</f>
        <v>王宁</v>
      </c>
      <c r="C2222" s="6" t="str">
        <f t="shared" si="104"/>
        <v>女</v>
      </c>
      <c r="D2222" s="6" t="str">
        <f>"202127013126"</f>
        <v>202127013126</v>
      </c>
      <c r="E2222" s="10" t="s">
        <v>27</v>
      </c>
      <c r="F2222" s="6" t="s">
        <v>9</v>
      </c>
      <c r="G2222" s="8">
        <v>53.1</v>
      </c>
      <c r="H2222" s="6"/>
    </row>
    <row r="2223" spans="1:8">
      <c r="A2223" s="5">
        <v>1977</v>
      </c>
      <c r="B2223" s="6" t="str">
        <f>"龙叶香"</f>
        <v>龙叶香</v>
      </c>
      <c r="C2223" s="6" t="str">
        <f t="shared" si="104"/>
        <v>女</v>
      </c>
      <c r="D2223" s="6" t="str">
        <f>"202127013127"</f>
        <v>202127013127</v>
      </c>
      <c r="E2223" s="10" t="s">
        <v>27</v>
      </c>
      <c r="F2223" s="6" t="s">
        <v>9</v>
      </c>
      <c r="G2223" s="8">
        <v>64.400000000000006</v>
      </c>
      <c r="H2223" s="6"/>
    </row>
    <row r="2224" spans="1:8">
      <c r="A2224" s="5">
        <v>2272</v>
      </c>
      <c r="B2224" s="6" t="str">
        <f>"张梅"</f>
        <v>张梅</v>
      </c>
      <c r="C2224" s="6" t="str">
        <f t="shared" si="104"/>
        <v>女</v>
      </c>
      <c r="D2224" s="6" t="str">
        <f>"202127013128"</f>
        <v>202127013128</v>
      </c>
      <c r="E2224" s="10" t="s">
        <v>27</v>
      </c>
      <c r="F2224" s="6" t="s">
        <v>9</v>
      </c>
      <c r="G2224" s="8">
        <v>51.85</v>
      </c>
      <c r="H2224" s="6"/>
    </row>
    <row r="2225" spans="1:8">
      <c r="A2225" s="5">
        <v>1821</v>
      </c>
      <c r="B2225" s="6" t="str">
        <f>"高丹"</f>
        <v>高丹</v>
      </c>
      <c r="C2225" s="6" t="str">
        <f t="shared" si="104"/>
        <v>女</v>
      </c>
      <c r="D2225" s="6" t="str">
        <f>"202127013129"</f>
        <v>202127013129</v>
      </c>
      <c r="E2225" s="10" t="s">
        <v>27</v>
      </c>
      <c r="F2225" s="6" t="s">
        <v>9</v>
      </c>
      <c r="G2225" s="8">
        <v>65.7</v>
      </c>
      <c r="H2225" s="6"/>
    </row>
    <row r="2226" spans="1:8">
      <c r="A2226" s="5">
        <v>2302</v>
      </c>
      <c r="B2226" s="6" t="str">
        <f>"肖丽"</f>
        <v>肖丽</v>
      </c>
      <c r="C2226" s="6" t="str">
        <f t="shared" si="104"/>
        <v>女</v>
      </c>
      <c r="D2226" s="6" t="str">
        <f>"202127013130"</f>
        <v>202127013130</v>
      </c>
      <c r="E2226" s="10" t="s">
        <v>27</v>
      </c>
      <c r="F2226" s="6" t="s">
        <v>9</v>
      </c>
      <c r="G2226" s="8">
        <v>60.1</v>
      </c>
      <c r="H2226" s="6"/>
    </row>
    <row r="2227" spans="1:8">
      <c r="A2227" s="5">
        <v>1803</v>
      </c>
      <c r="B2227" s="6" t="str">
        <f>"蒋芝阳"</f>
        <v>蒋芝阳</v>
      </c>
      <c r="C2227" s="6" t="str">
        <f t="shared" si="104"/>
        <v>女</v>
      </c>
      <c r="D2227" s="6" t="str">
        <f>"202127013201"</f>
        <v>202127013201</v>
      </c>
      <c r="E2227" s="10" t="s">
        <v>27</v>
      </c>
      <c r="F2227" s="6" t="s">
        <v>9</v>
      </c>
      <c r="G2227" s="8">
        <v>54</v>
      </c>
      <c r="H2227" s="6"/>
    </row>
    <row r="2228" spans="1:8">
      <c r="A2228" s="5">
        <v>2438</v>
      </c>
      <c r="B2228" s="6" t="str">
        <f>"蒋端妮"</f>
        <v>蒋端妮</v>
      </c>
      <c r="C2228" s="6" t="str">
        <f t="shared" si="104"/>
        <v>女</v>
      </c>
      <c r="D2228" s="6" t="str">
        <f>"202127013202"</f>
        <v>202127013202</v>
      </c>
      <c r="E2228" s="10" t="s">
        <v>27</v>
      </c>
      <c r="F2228" s="6" t="s">
        <v>9</v>
      </c>
      <c r="G2228" s="8">
        <v>58.8</v>
      </c>
      <c r="H2228" s="6"/>
    </row>
    <row r="2229" spans="1:8">
      <c r="A2229" s="5">
        <v>2393</v>
      </c>
      <c r="B2229" s="6" t="str">
        <f>"荆艳"</f>
        <v>荆艳</v>
      </c>
      <c r="C2229" s="6" t="str">
        <f t="shared" si="104"/>
        <v>女</v>
      </c>
      <c r="D2229" s="6" t="str">
        <f>"202127013203"</f>
        <v>202127013203</v>
      </c>
      <c r="E2229" s="10" t="s">
        <v>27</v>
      </c>
      <c r="F2229" s="6" t="s">
        <v>9</v>
      </c>
      <c r="G2229" s="8">
        <v>41.8</v>
      </c>
      <c r="H2229" s="6"/>
    </row>
    <row r="2230" spans="1:8">
      <c r="A2230" s="5">
        <v>1837</v>
      </c>
      <c r="B2230" s="6" t="str">
        <f>"曾丽萍"</f>
        <v>曾丽萍</v>
      </c>
      <c r="C2230" s="6" t="str">
        <f t="shared" si="104"/>
        <v>女</v>
      </c>
      <c r="D2230" s="6" t="str">
        <f>"202127013204"</f>
        <v>202127013204</v>
      </c>
      <c r="E2230" s="10" t="s">
        <v>27</v>
      </c>
      <c r="F2230" s="6" t="s">
        <v>9</v>
      </c>
      <c r="G2230" s="8">
        <v>66.25</v>
      </c>
      <c r="H2230" s="6"/>
    </row>
    <row r="2231" spans="1:8">
      <c r="A2231" s="5">
        <v>2138</v>
      </c>
      <c r="B2231" s="6" t="str">
        <f>"谭汝馨"</f>
        <v>谭汝馨</v>
      </c>
      <c r="C2231" s="6" t="str">
        <f t="shared" si="104"/>
        <v>女</v>
      </c>
      <c r="D2231" s="6" t="str">
        <f>"202127013205"</f>
        <v>202127013205</v>
      </c>
      <c r="E2231" s="10" t="s">
        <v>27</v>
      </c>
      <c r="F2231" s="6" t="s">
        <v>9</v>
      </c>
      <c r="G2231" s="8">
        <v>45</v>
      </c>
      <c r="H2231" s="6"/>
    </row>
    <row r="2232" spans="1:8">
      <c r="A2232" s="5">
        <v>2409</v>
      </c>
      <c r="B2232" s="6" t="str">
        <f>"陈波"</f>
        <v>陈波</v>
      </c>
      <c r="C2232" s="6" t="str">
        <f t="shared" si="104"/>
        <v>女</v>
      </c>
      <c r="D2232" s="6" t="str">
        <f>"202127013206"</f>
        <v>202127013206</v>
      </c>
      <c r="E2232" s="10" t="s">
        <v>27</v>
      </c>
      <c r="F2232" s="6" t="s">
        <v>9</v>
      </c>
      <c r="G2232" s="8">
        <v>61.45</v>
      </c>
      <c r="H2232" s="6"/>
    </row>
    <row r="2233" spans="1:8">
      <c r="A2233" s="5">
        <v>1782</v>
      </c>
      <c r="B2233" s="6" t="str">
        <f>"李玲玲"</f>
        <v>李玲玲</v>
      </c>
      <c r="C2233" s="6" t="str">
        <f t="shared" si="104"/>
        <v>女</v>
      </c>
      <c r="D2233" s="6" t="str">
        <f>"202127013207"</f>
        <v>202127013207</v>
      </c>
      <c r="E2233" s="10" t="s">
        <v>27</v>
      </c>
      <c r="F2233" s="6" t="s">
        <v>9</v>
      </c>
      <c r="G2233" s="8">
        <v>59.2</v>
      </c>
      <c r="H2233" s="6"/>
    </row>
    <row r="2234" spans="1:8">
      <c r="A2234" s="5">
        <v>1833</v>
      </c>
      <c r="B2234" s="6" t="str">
        <f>"陈姣凤"</f>
        <v>陈姣凤</v>
      </c>
      <c r="C2234" s="6" t="str">
        <f t="shared" si="104"/>
        <v>女</v>
      </c>
      <c r="D2234" s="6" t="str">
        <f>"202127013208"</f>
        <v>202127013208</v>
      </c>
      <c r="E2234" s="10" t="s">
        <v>27</v>
      </c>
      <c r="F2234" s="6" t="s">
        <v>9</v>
      </c>
      <c r="G2234" s="8">
        <v>61.35</v>
      </c>
      <c r="H2234" s="6"/>
    </row>
    <row r="2235" spans="1:8">
      <c r="A2235" s="5">
        <v>2361</v>
      </c>
      <c r="B2235" s="6" t="str">
        <f>"石姚"</f>
        <v>石姚</v>
      </c>
      <c r="C2235" s="6" t="str">
        <f t="shared" si="104"/>
        <v>女</v>
      </c>
      <c r="D2235" s="6" t="str">
        <f>"202127013209"</f>
        <v>202127013209</v>
      </c>
      <c r="E2235" s="10" t="s">
        <v>27</v>
      </c>
      <c r="F2235" s="6" t="s">
        <v>9</v>
      </c>
      <c r="G2235" s="8">
        <v>57.8</v>
      </c>
      <c r="H2235" s="6"/>
    </row>
    <row r="2236" spans="1:8">
      <c r="A2236" s="5">
        <v>1771</v>
      </c>
      <c r="B2236" s="6" t="str">
        <f>"杨相永"</f>
        <v>杨相永</v>
      </c>
      <c r="C2236" s="6" t="str">
        <f>"男"</f>
        <v>男</v>
      </c>
      <c r="D2236" s="6" t="str">
        <f>"202127013210"</f>
        <v>202127013210</v>
      </c>
      <c r="E2236" s="10" t="s">
        <v>27</v>
      </c>
      <c r="F2236" s="6" t="s">
        <v>9</v>
      </c>
      <c r="G2236" s="8">
        <v>52.8</v>
      </c>
      <c r="H2236" s="6"/>
    </row>
    <row r="2237" spans="1:8">
      <c r="A2237" s="5">
        <v>1849</v>
      </c>
      <c r="B2237" s="6" t="str">
        <f>"刘凤"</f>
        <v>刘凤</v>
      </c>
      <c r="C2237" s="6" t="str">
        <f t="shared" ref="C2237:C2263" si="105">"女"</f>
        <v>女</v>
      </c>
      <c r="D2237" s="6" t="str">
        <f>"202127013211"</f>
        <v>202127013211</v>
      </c>
      <c r="E2237" s="10" t="s">
        <v>27</v>
      </c>
      <c r="F2237" s="6" t="s">
        <v>9</v>
      </c>
      <c r="G2237" s="8">
        <v>49.85</v>
      </c>
      <c r="H2237" s="6"/>
    </row>
    <row r="2238" spans="1:8">
      <c r="A2238" s="5">
        <v>1836</v>
      </c>
      <c r="B2238" s="6" t="str">
        <f>"徐泽慧"</f>
        <v>徐泽慧</v>
      </c>
      <c r="C2238" s="6" t="str">
        <f t="shared" si="105"/>
        <v>女</v>
      </c>
      <c r="D2238" s="6" t="str">
        <f>"202127013212"</f>
        <v>202127013212</v>
      </c>
      <c r="E2238" s="10" t="s">
        <v>27</v>
      </c>
      <c r="F2238" s="6" t="s">
        <v>9</v>
      </c>
      <c r="G2238" s="8">
        <v>54.65</v>
      </c>
      <c r="H2238" s="6"/>
    </row>
    <row r="2239" spans="1:8">
      <c r="A2239" s="5">
        <v>2386</v>
      </c>
      <c r="B2239" s="6" t="str">
        <f>"陈慕凡"</f>
        <v>陈慕凡</v>
      </c>
      <c r="C2239" s="6" t="str">
        <f t="shared" si="105"/>
        <v>女</v>
      </c>
      <c r="D2239" s="6" t="str">
        <f>"202127013213"</f>
        <v>202127013213</v>
      </c>
      <c r="E2239" s="10" t="s">
        <v>27</v>
      </c>
      <c r="F2239" s="6" t="s">
        <v>9</v>
      </c>
      <c r="G2239" s="8">
        <v>55.2</v>
      </c>
      <c r="H2239" s="6"/>
    </row>
    <row r="2240" spans="1:8">
      <c r="A2240" s="5">
        <v>1812</v>
      </c>
      <c r="B2240" s="6" t="str">
        <f>"廖芬"</f>
        <v>廖芬</v>
      </c>
      <c r="C2240" s="6" t="str">
        <f t="shared" si="105"/>
        <v>女</v>
      </c>
      <c r="D2240" s="6" t="str">
        <f>"202127013214"</f>
        <v>202127013214</v>
      </c>
      <c r="E2240" s="10" t="s">
        <v>27</v>
      </c>
      <c r="F2240" s="6" t="s">
        <v>9</v>
      </c>
      <c r="G2240" s="8">
        <v>54.85</v>
      </c>
      <c r="H2240" s="6"/>
    </row>
    <row r="2241" spans="1:8">
      <c r="A2241" s="5">
        <v>2422</v>
      </c>
      <c r="B2241" s="6" t="str">
        <f>"余洁"</f>
        <v>余洁</v>
      </c>
      <c r="C2241" s="6" t="str">
        <f t="shared" si="105"/>
        <v>女</v>
      </c>
      <c r="D2241" s="6" t="str">
        <f>"202127013215"</f>
        <v>202127013215</v>
      </c>
      <c r="E2241" s="10" t="s">
        <v>27</v>
      </c>
      <c r="F2241" s="6" t="s">
        <v>9</v>
      </c>
      <c r="G2241" s="8">
        <v>52.45</v>
      </c>
      <c r="H2241" s="6"/>
    </row>
    <row r="2242" spans="1:8">
      <c r="A2242" s="5">
        <v>1866</v>
      </c>
      <c r="B2242" s="6" t="str">
        <f>"曾小维"</f>
        <v>曾小维</v>
      </c>
      <c r="C2242" s="6" t="str">
        <f t="shared" si="105"/>
        <v>女</v>
      </c>
      <c r="D2242" s="6" t="str">
        <f>"202127013216"</f>
        <v>202127013216</v>
      </c>
      <c r="E2242" s="10" t="s">
        <v>27</v>
      </c>
      <c r="F2242" s="6" t="s">
        <v>9</v>
      </c>
      <c r="G2242" s="8">
        <v>55.65</v>
      </c>
      <c r="H2242" s="6"/>
    </row>
    <row r="2243" spans="1:8">
      <c r="A2243" s="5">
        <v>1890</v>
      </c>
      <c r="B2243" s="6" t="str">
        <f>"彭慧洁"</f>
        <v>彭慧洁</v>
      </c>
      <c r="C2243" s="6" t="str">
        <f t="shared" si="105"/>
        <v>女</v>
      </c>
      <c r="D2243" s="6" t="str">
        <f>"202127013217"</f>
        <v>202127013217</v>
      </c>
      <c r="E2243" s="10" t="s">
        <v>27</v>
      </c>
      <c r="F2243" s="6" t="s">
        <v>9</v>
      </c>
      <c r="G2243" s="8">
        <v>59.5</v>
      </c>
      <c r="H2243" s="6"/>
    </row>
    <row r="2244" spans="1:8">
      <c r="A2244" s="5">
        <v>2036</v>
      </c>
      <c r="B2244" s="6" t="str">
        <f>"刘迷凤"</f>
        <v>刘迷凤</v>
      </c>
      <c r="C2244" s="6" t="str">
        <f t="shared" si="105"/>
        <v>女</v>
      </c>
      <c r="D2244" s="6" t="str">
        <f>"202127013218"</f>
        <v>202127013218</v>
      </c>
      <c r="E2244" s="10" t="s">
        <v>27</v>
      </c>
      <c r="F2244" s="6" t="s">
        <v>9</v>
      </c>
      <c r="G2244" s="8">
        <v>56</v>
      </c>
      <c r="H2244" s="6"/>
    </row>
    <row r="2245" spans="1:8">
      <c r="A2245" s="5">
        <v>2189</v>
      </c>
      <c r="B2245" s="6" t="str">
        <f>"唐婷"</f>
        <v>唐婷</v>
      </c>
      <c r="C2245" s="6" t="str">
        <f t="shared" si="105"/>
        <v>女</v>
      </c>
      <c r="D2245" s="6" t="str">
        <f>"202127013219"</f>
        <v>202127013219</v>
      </c>
      <c r="E2245" s="10" t="s">
        <v>27</v>
      </c>
      <c r="F2245" s="6" t="s">
        <v>9</v>
      </c>
      <c r="G2245" s="8">
        <v>55.75</v>
      </c>
      <c r="H2245" s="6"/>
    </row>
    <row r="2246" spans="1:8">
      <c r="A2246" s="5">
        <v>1787</v>
      </c>
      <c r="B2246" s="6" t="str">
        <f>"覃玲"</f>
        <v>覃玲</v>
      </c>
      <c r="C2246" s="6" t="str">
        <f t="shared" si="105"/>
        <v>女</v>
      </c>
      <c r="D2246" s="6" t="str">
        <f>"202127013220"</f>
        <v>202127013220</v>
      </c>
      <c r="E2246" s="10" t="s">
        <v>27</v>
      </c>
      <c r="F2246" s="6" t="s">
        <v>9</v>
      </c>
      <c r="G2246" s="8">
        <v>52.45</v>
      </c>
      <c r="H2246" s="6"/>
    </row>
    <row r="2247" spans="1:8">
      <c r="A2247" s="5">
        <v>2194</v>
      </c>
      <c r="B2247" s="6" t="str">
        <f>"张玉筠"</f>
        <v>张玉筠</v>
      </c>
      <c r="C2247" s="6" t="str">
        <f t="shared" si="105"/>
        <v>女</v>
      </c>
      <c r="D2247" s="6" t="str">
        <f>"202127013221"</f>
        <v>202127013221</v>
      </c>
      <c r="E2247" s="10" t="s">
        <v>27</v>
      </c>
      <c r="F2247" s="6" t="s">
        <v>9</v>
      </c>
      <c r="G2247" s="8">
        <v>59.2</v>
      </c>
      <c r="H2247" s="6"/>
    </row>
    <row r="2248" spans="1:8">
      <c r="A2248" s="5">
        <v>2014</v>
      </c>
      <c r="B2248" s="6" t="str">
        <f>"王腊梅"</f>
        <v>王腊梅</v>
      </c>
      <c r="C2248" s="6" t="str">
        <f t="shared" si="105"/>
        <v>女</v>
      </c>
      <c r="D2248" s="6" t="str">
        <f>"202127013222"</f>
        <v>202127013222</v>
      </c>
      <c r="E2248" s="10" t="s">
        <v>27</v>
      </c>
      <c r="F2248" s="6" t="s">
        <v>9</v>
      </c>
      <c r="G2248" s="8">
        <v>66.5</v>
      </c>
      <c r="H2248" s="6"/>
    </row>
    <row r="2249" spans="1:8">
      <c r="A2249" s="5">
        <v>2305</v>
      </c>
      <c r="B2249" s="6" t="str">
        <f>"张霞"</f>
        <v>张霞</v>
      </c>
      <c r="C2249" s="6" t="str">
        <f t="shared" si="105"/>
        <v>女</v>
      </c>
      <c r="D2249" s="6" t="str">
        <f>"202127013223"</f>
        <v>202127013223</v>
      </c>
      <c r="E2249" s="10" t="s">
        <v>27</v>
      </c>
      <c r="F2249" s="6" t="s">
        <v>9</v>
      </c>
      <c r="G2249" s="8">
        <v>0</v>
      </c>
      <c r="H2249" s="9">
        <v>1</v>
      </c>
    </row>
    <row r="2250" spans="1:8">
      <c r="A2250" s="5">
        <v>2161</v>
      </c>
      <c r="B2250" s="6" t="str">
        <f>"王亚妮"</f>
        <v>王亚妮</v>
      </c>
      <c r="C2250" s="6" t="str">
        <f t="shared" si="105"/>
        <v>女</v>
      </c>
      <c r="D2250" s="6" t="str">
        <f>"202127013224"</f>
        <v>202127013224</v>
      </c>
      <c r="E2250" s="10" t="s">
        <v>27</v>
      </c>
      <c r="F2250" s="6" t="s">
        <v>9</v>
      </c>
      <c r="G2250" s="8">
        <v>49.7</v>
      </c>
      <c r="H2250" s="6"/>
    </row>
    <row r="2251" spans="1:8">
      <c r="A2251" s="5">
        <v>2121</v>
      </c>
      <c r="B2251" s="6" t="str">
        <f>"杨玉萍"</f>
        <v>杨玉萍</v>
      </c>
      <c r="C2251" s="6" t="str">
        <f t="shared" si="105"/>
        <v>女</v>
      </c>
      <c r="D2251" s="6" t="str">
        <f>"202127013225"</f>
        <v>202127013225</v>
      </c>
      <c r="E2251" s="10" t="s">
        <v>27</v>
      </c>
      <c r="F2251" s="6" t="s">
        <v>9</v>
      </c>
      <c r="G2251" s="8">
        <v>59.45</v>
      </c>
      <c r="H2251" s="6"/>
    </row>
    <row r="2252" spans="1:8">
      <c r="A2252" s="5">
        <v>2270</v>
      </c>
      <c r="B2252" s="6" t="str">
        <f>"谭英"</f>
        <v>谭英</v>
      </c>
      <c r="C2252" s="6" t="str">
        <f t="shared" si="105"/>
        <v>女</v>
      </c>
      <c r="D2252" s="6" t="str">
        <f>"202127013226"</f>
        <v>202127013226</v>
      </c>
      <c r="E2252" s="10" t="s">
        <v>27</v>
      </c>
      <c r="F2252" s="6" t="s">
        <v>9</v>
      </c>
      <c r="G2252" s="8">
        <v>56.35</v>
      </c>
      <c r="H2252" s="6"/>
    </row>
    <row r="2253" spans="1:8">
      <c r="A2253" s="5">
        <v>2154</v>
      </c>
      <c r="B2253" s="6" t="str">
        <f>"张智伶"</f>
        <v>张智伶</v>
      </c>
      <c r="C2253" s="6" t="str">
        <f t="shared" si="105"/>
        <v>女</v>
      </c>
      <c r="D2253" s="6" t="str">
        <f>"202127013227"</f>
        <v>202127013227</v>
      </c>
      <c r="E2253" s="10" t="s">
        <v>27</v>
      </c>
      <c r="F2253" s="6" t="s">
        <v>9</v>
      </c>
      <c r="G2253" s="8">
        <v>45.4</v>
      </c>
      <c r="H2253" s="6"/>
    </row>
    <row r="2254" spans="1:8">
      <c r="A2254" s="5">
        <v>1945</v>
      </c>
      <c r="B2254" s="6" t="str">
        <f>"申婷婷"</f>
        <v>申婷婷</v>
      </c>
      <c r="C2254" s="6" t="str">
        <f t="shared" si="105"/>
        <v>女</v>
      </c>
      <c r="D2254" s="6" t="str">
        <f>"202127013228"</f>
        <v>202127013228</v>
      </c>
      <c r="E2254" s="10" t="s">
        <v>27</v>
      </c>
      <c r="F2254" s="6" t="s">
        <v>9</v>
      </c>
      <c r="G2254" s="8">
        <v>53</v>
      </c>
      <c r="H2254" s="6"/>
    </row>
    <row r="2255" spans="1:8">
      <c r="A2255" s="5">
        <v>2083</v>
      </c>
      <c r="B2255" s="6" t="str">
        <f>"蒋雨"</f>
        <v>蒋雨</v>
      </c>
      <c r="C2255" s="6" t="str">
        <f t="shared" si="105"/>
        <v>女</v>
      </c>
      <c r="D2255" s="6" t="str">
        <f>"202127013229"</f>
        <v>202127013229</v>
      </c>
      <c r="E2255" s="10" t="s">
        <v>27</v>
      </c>
      <c r="F2255" s="6" t="s">
        <v>9</v>
      </c>
      <c r="G2255" s="8">
        <v>47.25</v>
      </c>
      <c r="H2255" s="6"/>
    </row>
    <row r="2256" spans="1:8">
      <c r="A2256" s="5">
        <v>2146</v>
      </c>
      <c r="B2256" s="6" t="str">
        <f>"尧海燕"</f>
        <v>尧海燕</v>
      </c>
      <c r="C2256" s="6" t="str">
        <f t="shared" si="105"/>
        <v>女</v>
      </c>
      <c r="D2256" s="6" t="str">
        <f>"202127013230"</f>
        <v>202127013230</v>
      </c>
      <c r="E2256" s="10" t="s">
        <v>27</v>
      </c>
      <c r="F2256" s="6" t="s">
        <v>9</v>
      </c>
      <c r="G2256" s="8">
        <v>64.05</v>
      </c>
      <c r="H2256" s="6"/>
    </row>
    <row r="2257" spans="1:8">
      <c r="A2257" s="5">
        <v>2259</v>
      </c>
      <c r="B2257" s="6" t="str">
        <f>"李军辉"</f>
        <v>李军辉</v>
      </c>
      <c r="C2257" s="6" t="str">
        <f t="shared" si="105"/>
        <v>女</v>
      </c>
      <c r="D2257" s="6" t="str">
        <f>"202127013301"</f>
        <v>202127013301</v>
      </c>
      <c r="E2257" s="10" t="s">
        <v>27</v>
      </c>
      <c r="F2257" s="6" t="s">
        <v>9</v>
      </c>
      <c r="G2257" s="8">
        <v>61.3</v>
      </c>
      <c r="H2257" s="6"/>
    </row>
    <row r="2258" spans="1:8">
      <c r="A2258" s="5">
        <v>2251</v>
      </c>
      <c r="B2258" s="6" t="str">
        <f>"伍小连"</f>
        <v>伍小连</v>
      </c>
      <c r="C2258" s="6" t="str">
        <f t="shared" si="105"/>
        <v>女</v>
      </c>
      <c r="D2258" s="6" t="str">
        <f>"202127013302"</f>
        <v>202127013302</v>
      </c>
      <c r="E2258" s="10" t="s">
        <v>27</v>
      </c>
      <c r="F2258" s="6" t="s">
        <v>9</v>
      </c>
      <c r="G2258" s="8">
        <v>60.1</v>
      </c>
      <c r="H2258" s="6"/>
    </row>
    <row r="2259" spans="1:8">
      <c r="A2259" s="5">
        <v>1910</v>
      </c>
      <c r="B2259" s="6" t="str">
        <f>"曾瑾"</f>
        <v>曾瑾</v>
      </c>
      <c r="C2259" s="6" t="str">
        <f t="shared" si="105"/>
        <v>女</v>
      </c>
      <c r="D2259" s="6" t="str">
        <f>"202127013303"</f>
        <v>202127013303</v>
      </c>
      <c r="E2259" s="10" t="s">
        <v>27</v>
      </c>
      <c r="F2259" s="6" t="s">
        <v>9</v>
      </c>
      <c r="G2259" s="8">
        <v>56.5</v>
      </c>
      <c r="H2259" s="6"/>
    </row>
    <row r="2260" spans="1:8">
      <c r="A2260" s="5">
        <v>1805</v>
      </c>
      <c r="B2260" s="6" t="str">
        <f>"张贞"</f>
        <v>张贞</v>
      </c>
      <c r="C2260" s="6" t="str">
        <f t="shared" si="105"/>
        <v>女</v>
      </c>
      <c r="D2260" s="6" t="str">
        <f>"202127013304"</f>
        <v>202127013304</v>
      </c>
      <c r="E2260" s="10" t="s">
        <v>27</v>
      </c>
      <c r="F2260" s="6" t="s">
        <v>9</v>
      </c>
      <c r="G2260" s="8">
        <v>63.95</v>
      </c>
      <c r="H2260" s="6"/>
    </row>
    <row r="2261" spans="1:8">
      <c r="A2261" s="5">
        <v>1783</v>
      </c>
      <c r="B2261" s="6" t="str">
        <f>"何林燕"</f>
        <v>何林燕</v>
      </c>
      <c r="C2261" s="6" t="str">
        <f t="shared" si="105"/>
        <v>女</v>
      </c>
      <c r="D2261" s="6" t="str">
        <f>"202127013305"</f>
        <v>202127013305</v>
      </c>
      <c r="E2261" s="10" t="s">
        <v>27</v>
      </c>
      <c r="F2261" s="6" t="s">
        <v>9</v>
      </c>
      <c r="G2261" s="8">
        <v>58.75</v>
      </c>
      <c r="H2261" s="6"/>
    </row>
    <row r="2262" spans="1:8">
      <c r="A2262" s="5">
        <v>2391</v>
      </c>
      <c r="B2262" s="6" t="str">
        <f>"肖丽"</f>
        <v>肖丽</v>
      </c>
      <c r="C2262" s="6" t="str">
        <f t="shared" si="105"/>
        <v>女</v>
      </c>
      <c r="D2262" s="6" t="str">
        <f>"202127013306"</f>
        <v>202127013306</v>
      </c>
      <c r="E2262" s="10" t="s">
        <v>27</v>
      </c>
      <c r="F2262" s="6" t="s">
        <v>9</v>
      </c>
      <c r="G2262" s="8">
        <v>58.35</v>
      </c>
      <c r="H2262" s="6"/>
    </row>
    <row r="2263" spans="1:8">
      <c r="A2263" s="5">
        <v>2235</v>
      </c>
      <c r="B2263" s="6" t="str">
        <f>"唐娟"</f>
        <v>唐娟</v>
      </c>
      <c r="C2263" s="6" t="str">
        <f t="shared" si="105"/>
        <v>女</v>
      </c>
      <c r="D2263" s="6" t="str">
        <f>"202127013307"</f>
        <v>202127013307</v>
      </c>
      <c r="E2263" s="10" t="s">
        <v>27</v>
      </c>
      <c r="F2263" s="6" t="s">
        <v>9</v>
      </c>
      <c r="G2263" s="8">
        <v>59.65</v>
      </c>
      <c r="H2263" s="6"/>
    </row>
    <row r="2264" spans="1:8">
      <c r="A2264" s="5">
        <v>2333</v>
      </c>
      <c r="B2264" s="6" t="str">
        <f>"肖波"</f>
        <v>肖波</v>
      </c>
      <c r="C2264" s="6" t="str">
        <f>"男"</f>
        <v>男</v>
      </c>
      <c r="D2264" s="6" t="str">
        <f>"202127013308"</f>
        <v>202127013308</v>
      </c>
      <c r="E2264" s="10" t="s">
        <v>27</v>
      </c>
      <c r="F2264" s="6" t="s">
        <v>9</v>
      </c>
      <c r="G2264" s="8">
        <v>67.2</v>
      </c>
      <c r="H2264" s="6"/>
    </row>
    <row r="2265" spans="1:8">
      <c r="A2265" s="5">
        <v>2153</v>
      </c>
      <c r="B2265" s="6" t="str">
        <f>"刘佳莉"</f>
        <v>刘佳莉</v>
      </c>
      <c r="C2265" s="6" t="str">
        <f t="shared" ref="C2265:C2296" si="106">"女"</f>
        <v>女</v>
      </c>
      <c r="D2265" s="6" t="str">
        <f>"202127013309"</f>
        <v>202127013309</v>
      </c>
      <c r="E2265" s="10" t="s">
        <v>27</v>
      </c>
      <c r="F2265" s="6" t="s">
        <v>9</v>
      </c>
      <c r="G2265" s="8">
        <v>52.15</v>
      </c>
      <c r="H2265" s="6"/>
    </row>
    <row r="2266" spans="1:8">
      <c r="A2266" s="5">
        <v>2203</v>
      </c>
      <c r="B2266" s="6" t="str">
        <f>"黄丽丽"</f>
        <v>黄丽丽</v>
      </c>
      <c r="C2266" s="6" t="str">
        <f t="shared" si="106"/>
        <v>女</v>
      </c>
      <c r="D2266" s="6" t="str">
        <f>"202127013310"</f>
        <v>202127013310</v>
      </c>
      <c r="E2266" s="10" t="s">
        <v>27</v>
      </c>
      <c r="F2266" s="6" t="s">
        <v>9</v>
      </c>
      <c r="G2266" s="8">
        <v>55.55</v>
      </c>
      <c r="H2266" s="6"/>
    </row>
    <row r="2267" spans="1:8">
      <c r="A2267" s="5">
        <v>1953</v>
      </c>
      <c r="B2267" s="6" t="str">
        <f>"罗胜君"</f>
        <v>罗胜君</v>
      </c>
      <c r="C2267" s="6" t="str">
        <f t="shared" si="106"/>
        <v>女</v>
      </c>
      <c r="D2267" s="6" t="str">
        <f>"202127013311"</f>
        <v>202127013311</v>
      </c>
      <c r="E2267" s="10" t="s">
        <v>27</v>
      </c>
      <c r="F2267" s="6" t="s">
        <v>9</v>
      </c>
      <c r="G2267" s="8">
        <v>49.65</v>
      </c>
      <c r="H2267" s="6"/>
    </row>
    <row r="2268" spans="1:8">
      <c r="A2268" s="5">
        <v>2306</v>
      </c>
      <c r="B2268" s="6" t="str">
        <f>"卢艳君"</f>
        <v>卢艳君</v>
      </c>
      <c r="C2268" s="6" t="str">
        <f t="shared" si="106"/>
        <v>女</v>
      </c>
      <c r="D2268" s="6" t="str">
        <f>"202127013312"</f>
        <v>202127013312</v>
      </c>
      <c r="E2268" s="10" t="s">
        <v>27</v>
      </c>
      <c r="F2268" s="6" t="s">
        <v>9</v>
      </c>
      <c r="G2268" s="8">
        <v>54</v>
      </c>
      <c r="H2268" s="6"/>
    </row>
    <row r="2269" spans="1:8">
      <c r="A2269" s="5">
        <v>2370</v>
      </c>
      <c r="B2269" s="6" t="str">
        <f>"周迪琪"</f>
        <v>周迪琪</v>
      </c>
      <c r="C2269" s="6" t="str">
        <f t="shared" si="106"/>
        <v>女</v>
      </c>
      <c r="D2269" s="6" t="str">
        <f>"202127013313"</f>
        <v>202127013313</v>
      </c>
      <c r="E2269" s="10" t="s">
        <v>27</v>
      </c>
      <c r="F2269" s="6" t="s">
        <v>9</v>
      </c>
      <c r="G2269" s="8">
        <v>59.3</v>
      </c>
      <c r="H2269" s="6"/>
    </row>
    <row r="2270" spans="1:8">
      <c r="A2270" s="5">
        <v>2143</v>
      </c>
      <c r="B2270" s="6" t="str">
        <f>"戴世有"</f>
        <v>戴世有</v>
      </c>
      <c r="C2270" s="6" t="str">
        <f t="shared" si="106"/>
        <v>女</v>
      </c>
      <c r="D2270" s="6" t="str">
        <f>"202127013314"</f>
        <v>202127013314</v>
      </c>
      <c r="E2270" s="10" t="s">
        <v>27</v>
      </c>
      <c r="F2270" s="6" t="s">
        <v>9</v>
      </c>
      <c r="G2270" s="8">
        <v>59.65</v>
      </c>
      <c r="H2270" s="6"/>
    </row>
    <row r="2271" spans="1:8">
      <c r="A2271" s="5">
        <v>2049</v>
      </c>
      <c r="B2271" s="6" t="str">
        <f>"邓葵"</f>
        <v>邓葵</v>
      </c>
      <c r="C2271" s="6" t="str">
        <f t="shared" si="106"/>
        <v>女</v>
      </c>
      <c r="D2271" s="6" t="str">
        <f>"202127013315"</f>
        <v>202127013315</v>
      </c>
      <c r="E2271" s="10" t="s">
        <v>27</v>
      </c>
      <c r="F2271" s="6" t="s">
        <v>9</v>
      </c>
      <c r="G2271" s="8">
        <v>58.1</v>
      </c>
      <c r="H2271" s="6"/>
    </row>
    <row r="2272" spans="1:8">
      <c r="A2272" s="5">
        <v>2096</v>
      </c>
      <c r="B2272" s="6" t="str">
        <f>"李庆香"</f>
        <v>李庆香</v>
      </c>
      <c r="C2272" s="6" t="str">
        <f t="shared" si="106"/>
        <v>女</v>
      </c>
      <c r="D2272" s="6" t="str">
        <f>"202127013316"</f>
        <v>202127013316</v>
      </c>
      <c r="E2272" s="10" t="s">
        <v>27</v>
      </c>
      <c r="F2272" s="6" t="s">
        <v>9</v>
      </c>
      <c r="G2272" s="8">
        <v>54.1</v>
      </c>
      <c r="H2272" s="6"/>
    </row>
    <row r="2273" spans="1:8">
      <c r="A2273" s="5">
        <v>2385</v>
      </c>
      <c r="B2273" s="6" t="str">
        <f>"刘倩"</f>
        <v>刘倩</v>
      </c>
      <c r="C2273" s="6" t="str">
        <f t="shared" si="106"/>
        <v>女</v>
      </c>
      <c r="D2273" s="6" t="str">
        <f>"202127013317"</f>
        <v>202127013317</v>
      </c>
      <c r="E2273" s="10" t="s">
        <v>27</v>
      </c>
      <c r="F2273" s="6" t="s">
        <v>9</v>
      </c>
      <c r="G2273" s="8">
        <v>61.75</v>
      </c>
      <c r="H2273" s="6"/>
    </row>
    <row r="2274" spans="1:8">
      <c r="A2274" s="5">
        <v>2433</v>
      </c>
      <c r="B2274" s="6" t="str">
        <f>"刘晓琴"</f>
        <v>刘晓琴</v>
      </c>
      <c r="C2274" s="6" t="str">
        <f t="shared" si="106"/>
        <v>女</v>
      </c>
      <c r="D2274" s="6" t="str">
        <f>"202127013318"</f>
        <v>202127013318</v>
      </c>
      <c r="E2274" s="10" t="s">
        <v>27</v>
      </c>
      <c r="F2274" s="6" t="s">
        <v>9</v>
      </c>
      <c r="G2274" s="8">
        <v>57.8</v>
      </c>
      <c r="H2274" s="6"/>
    </row>
    <row r="2275" spans="1:8">
      <c r="A2275" s="5">
        <v>1943</v>
      </c>
      <c r="B2275" s="6" t="str">
        <f>"彭洁"</f>
        <v>彭洁</v>
      </c>
      <c r="C2275" s="6" t="str">
        <f t="shared" si="106"/>
        <v>女</v>
      </c>
      <c r="D2275" s="6" t="str">
        <f>"202127013319"</f>
        <v>202127013319</v>
      </c>
      <c r="E2275" s="10" t="s">
        <v>27</v>
      </c>
      <c r="F2275" s="6" t="s">
        <v>9</v>
      </c>
      <c r="G2275" s="8">
        <v>48.1</v>
      </c>
      <c r="H2275" s="6"/>
    </row>
    <row r="2276" spans="1:8">
      <c r="A2276" s="5">
        <v>2380</v>
      </c>
      <c r="B2276" s="6" t="str">
        <f>"蒋冬玲"</f>
        <v>蒋冬玲</v>
      </c>
      <c r="C2276" s="6" t="str">
        <f t="shared" si="106"/>
        <v>女</v>
      </c>
      <c r="D2276" s="6" t="str">
        <f>"202127013320"</f>
        <v>202127013320</v>
      </c>
      <c r="E2276" s="10" t="s">
        <v>27</v>
      </c>
      <c r="F2276" s="6" t="s">
        <v>9</v>
      </c>
      <c r="G2276" s="8">
        <v>59.35</v>
      </c>
      <c r="H2276" s="6"/>
    </row>
    <row r="2277" spans="1:8">
      <c r="A2277" s="5">
        <v>2063</v>
      </c>
      <c r="B2277" s="6" t="str">
        <f>"李月娟"</f>
        <v>李月娟</v>
      </c>
      <c r="C2277" s="6" t="str">
        <f t="shared" si="106"/>
        <v>女</v>
      </c>
      <c r="D2277" s="6" t="str">
        <f>"202127013321"</f>
        <v>202127013321</v>
      </c>
      <c r="E2277" s="10" t="s">
        <v>27</v>
      </c>
      <c r="F2277" s="6" t="s">
        <v>9</v>
      </c>
      <c r="G2277" s="8">
        <v>69.3</v>
      </c>
      <c r="H2277" s="6"/>
    </row>
    <row r="2278" spans="1:8">
      <c r="A2278" s="5">
        <v>1754</v>
      </c>
      <c r="B2278" s="6" t="str">
        <f>"张金艳"</f>
        <v>张金艳</v>
      </c>
      <c r="C2278" s="6" t="str">
        <f t="shared" si="106"/>
        <v>女</v>
      </c>
      <c r="D2278" s="6" t="str">
        <f>"202127013322"</f>
        <v>202127013322</v>
      </c>
      <c r="E2278" s="10" t="s">
        <v>27</v>
      </c>
      <c r="F2278" s="6" t="s">
        <v>9</v>
      </c>
      <c r="G2278" s="8">
        <v>0</v>
      </c>
      <c r="H2278" s="9">
        <v>1</v>
      </c>
    </row>
    <row r="2279" spans="1:8">
      <c r="A2279" s="5">
        <v>1902</v>
      </c>
      <c r="B2279" s="6" t="str">
        <f>"黎红梦"</f>
        <v>黎红梦</v>
      </c>
      <c r="C2279" s="6" t="str">
        <f t="shared" si="106"/>
        <v>女</v>
      </c>
      <c r="D2279" s="6" t="str">
        <f>"202127013323"</f>
        <v>202127013323</v>
      </c>
      <c r="E2279" s="10" t="s">
        <v>27</v>
      </c>
      <c r="F2279" s="6" t="s">
        <v>9</v>
      </c>
      <c r="G2279" s="8">
        <v>49.6</v>
      </c>
      <c r="H2279" s="6"/>
    </row>
    <row r="2280" spans="1:8">
      <c r="A2280" s="5">
        <v>2355</v>
      </c>
      <c r="B2280" s="6" t="str">
        <f>"刘佳凤"</f>
        <v>刘佳凤</v>
      </c>
      <c r="C2280" s="6" t="str">
        <f t="shared" si="106"/>
        <v>女</v>
      </c>
      <c r="D2280" s="6" t="str">
        <f>"202127013324"</f>
        <v>202127013324</v>
      </c>
      <c r="E2280" s="10" t="s">
        <v>27</v>
      </c>
      <c r="F2280" s="6" t="s">
        <v>9</v>
      </c>
      <c r="G2280" s="8">
        <v>52.1</v>
      </c>
      <c r="H2280" s="6"/>
    </row>
    <row r="2281" spans="1:8">
      <c r="A2281" s="5">
        <v>1843</v>
      </c>
      <c r="B2281" s="6" t="str">
        <f>"夏露"</f>
        <v>夏露</v>
      </c>
      <c r="C2281" s="6" t="str">
        <f t="shared" si="106"/>
        <v>女</v>
      </c>
      <c r="D2281" s="6" t="str">
        <f>"202127013325"</f>
        <v>202127013325</v>
      </c>
      <c r="E2281" s="10" t="s">
        <v>27</v>
      </c>
      <c r="F2281" s="6" t="s">
        <v>9</v>
      </c>
      <c r="G2281" s="8">
        <v>56.35</v>
      </c>
      <c r="H2281" s="6"/>
    </row>
    <row r="2282" spans="1:8">
      <c r="A2282" s="5">
        <v>2435</v>
      </c>
      <c r="B2282" s="6" t="str">
        <f>"谢紫娟"</f>
        <v>谢紫娟</v>
      </c>
      <c r="C2282" s="6" t="str">
        <f t="shared" si="106"/>
        <v>女</v>
      </c>
      <c r="D2282" s="6" t="str">
        <f>"202127013326"</f>
        <v>202127013326</v>
      </c>
      <c r="E2282" s="10" t="s">
        <v>27</v>
      </c>
      <c r="F2282" s="6" t="s">
        <v>9</v>
      </c>
      <c r="G2282" s="8">
        <v>52.2</v>
      </c>
      <c r="H2282" s="6"/>
    </row>
    <row r="2283" spans="1:8">
      <c r="A2283" s="5">
        <v>2378</v>
      </c>
      <c r="B2283" s="6" t="str">
        <f>"肖梅"</f>
        <v>肖梅</v>
      </c>
      <c r="C2283" s="6" t="str">
        <f t="shared" si="106"/>
        <v>女</v>
      </c>
      <c r="D2283" s="6" t="str">
        <f>"202127013327"</f>
        <v>202127013327</v>
      </c>
      <c r="E2283" s="10" t="s">
        <v>27</v>
      </c>
      <c r="F2283" s="6" t="s">
        <v>9</v>
      </c>
      <c r="G2283" s="8">
        <v>53.95</v>
      </c>
      <c r="H2283" s="6"/>
    </row>
    <row r="2284" spans="1:8">
      <c r="A2284" s="5">
        <v>1819</v>
      </c>
      <c r="B2284" s="6" t="str">
        <f>"张丽翠"</f>
        <v>张丽翠</v>
      </c>
      <c r="C2284" s="6" t="str">
        <f t="shared" si="106"/>
        <v>女</v>
      </c>
      <c r="D2284" s="6" t="str">
        <f>"202127013328"</f>
        <v>202127013328</v>
      </c>
      <c r="E2284" s="10" t="s">
        <v>27</v>
      </c>
      <c r="F2284" s="6" t="s">
        <v>9</v>
      </c>
      <c r="G2284" s="8">
        <v>48.25</v>
      </c>
      <c r="H2284" s="6"/>
    </row>
    <row r="2285" spans="1:8">
      <c r="A2285" s="5">
        <v>2350</v>
      </c>
      <c r="B2285" s="6" t="str">
        <f>"赵桂丽"</f>
        <v>赵桂丽</v>
      </c>
      <c r="C2285" s="6" t="str">
        <f t="shared" si="106"/>
        <v>女</v>
      </c>
      <c r="D2285" s="6" t="str">
        <f>"202127013329"</f>
        <v>202127013329</v>
      </c>
      <c r="E2285" s="10" t="s">
        <v>27</v>
      </c>
      <c r="F2285" s="6" t="s">
        <v>9</v>
      </c>
      <c r="G2285" s="8">
        <v>60.4</v>
      </c>
      <c r="H2285" s="6"/>
    </row>
    <row r="2286" spans="1:8">
      <c r="A2286" s="5">
        <v>2167</v>
      </c>
      <c r="B2286" s="6" t="str">
        <f>"陈雨期"</f>
        <v>陈雨期</v>
      </c>
      <c r="C2286" s="6" t="str">
        <f t="shared" si="106"/>
        <v>女</v>
      </c>
      <c r="D2286" s="6" t="str">
        <f>"202127013330"</f>
        <v>202127013330</v>
      </c>
      <c r="E2286" s="10" t="s">
        <v>27</v>
      </c>
      <c r="F2286" s="6" t="s">
        <v>9</v>
      </c>
      <c r="G2286" s="8">
        <v>59.4</v>
      </c>
      <c r="H2286" s="6"/>
    </row>
    <row r="2287" spans="1:8">
      <c r="A2287" s="5">
        <v>2372</v>
      </c>
      <c r="B2287" s="6" t="str">
        <f>"姚莉"</f>
        <v>姚莉</v>
      </c>
      <c r="C2287" s="6" t="str">
        <f t="shared" si="106"/>
        <v>女</v>
      </c>
      <c r="D2287" s="6" t="str">
        <f>"202127013401"</f>
        <v>202127013401</v>
      </c>
      <c r="E2287" s="10" t="s">
        <v>27</v>
      </c>
      <c r="F2287" s="6" t="s">
        <v>9</v>
      </c>
      <c r="G2287" s="8">
        <v>75.5</v>
      </c>
      <c r="H2287" s="6"/>
    </row>
    <row r="2288" spans="1:8">
      <c r="A2288" s="5">
        <v>1850</v>
      </c>
      <c r="B2288" s="6" t="str">
        <f>"韦雪英"</f>
        <v>韦雪英</v>
      </c>
      <c r="C2288" s="6" t="str">
        <f t="shared" si="106"/>
        <v>女</v>
      </c>
      <c r="D2288" s="6" t="str">
        <f>"202127013402"</f>
        <v>202127013402</v>
      </c>
      <c r="E2288" s="10" t="s">
        <v>27</v>
      </c>
      <c r="F2288" s="6" t="s">
        <v>9</v>
      </c>
      <c r="G2288" s="8">
        <v>59.8</v>
      </c>
      <c r="H2288" s="6"/>
    </row>
    <row r="2289" spans="1:8">
      <c r="A2289" s="5">
        <v>1913</v>
      </c>
      <c r="B2289" s="6" t="str">
        <f>"孙莎妮"</f>
        <v>孙莎妮</v>
      </c>
      <c r="C2289" s="6" t="str">
        <f t="shared" si="106"/>
        <v>女</v>
      </c>
      <c r="D2289" s="6" t="str">
        <f>"202127013403"</f>
        <v>202127013403</v>
      </c>
      <c r="E2289" s="10" t="s">
        <v>27</v>
      </c>
      <c r="F2289" s="6" t="s">
        <v>9</v>
      </c>
      <c r="G2289" s="8">
        <v>45.95</v>
      </c>
      <c r="H2289" s="6"/>
    </row>
    <row r="2290" spans="1:8">
      <c r="A2290" s="5">
        <v>2156</v>
      </c>
      <c r="B2290" s="6" t="str">
        <f>"夏婕"</f>
        <v>夏婕</v>
      </c>
      <c r="C2290" s="6" t="str">
        <f t="shared" si="106"/>
        <v>女</v>
      </c>
      <c r="D2290" s="6" t="str">
        <f>"202127013404"</f>
        <v>202127013404</v>
      </c>
      <c r="E2290" s="10" t="s">
        <v>27</v>
      </c>
      <c r="F2290" s="6" t="s">
        <v>9</v>
      </c>
      <c r="G2290" s="8">
        <v>65.45</v>
      </c>
      <c r="H2290" s="6"/>
    </row>
    <row r="2291" spans="1:8">
      <c r="A2291" s="5">
        <v>2308</v>
      </c>
      <c r="B2291" s="6" t="str">
        <f>"李骞"</f>
        <v>李骞</v>
      </c>
      <c r="C2291" s="6" t="str">
        <f t="shared" si="106"/>
        <v>女</v>
      </c>
      <c r="D2291" s="6" t="str">
        <f>"202127013405"</f>
        <v>202127013405</v>
      </c>
      <c r="E2291" s="10" t="s">
        <v>27</v>
      </c>
      <c r="F2291" s="6" t="s">
        <v>9</v>
      </c>
      <c r="G2291" s="8">
        <v>53.55</v>
      </c>
      <c r="H2291" s="6"/>
    </row>
    <row r="2292" spans="1:8">
      <c r="A2292" s="5">
        <v>2317</v>
      </c>
      <c r="B2292" s="6" t="str">
        <f>"戴婷婷"</f>
        <v>戴婷婷</v>
      </c>
      <c r="C2292" s="6" t="str">
        <f t="shared" si="106"/>
        <v>女</v>
      </c>
      <c r="D2292" s="6" t="str">
        <f>"202127013406"</f>
        <v>202127013406</v>
      </c>
      <c r="E2292" s="10" t="s">
        <v>27</v>
      </c>
      <c r="F2292" s="6" t="s">
        <v>9</v>
      </c>
      <c r="G2292" s="8">
        <v>41.15</v>
      </c>
      <c r="H2292" s="6"/>
    </row>
    <row r="2293" spans="1:8">
      <c r="A2293" s="5">
        <v>1885</v>
      </c>
      <c r="B2293" s="6" t="str">
        <f>"银雪"</f>
        <v>银雪</v>
      </c>
      <c r="C2293" s="6" t="str">
        <f t="shared" si="106"/>
        <v>女</v>
      </c>
      <c r="D2293" s="6" t="str">
        <f>"202127013407"</f>
        <v>202127013407</v>
      </c>
      <c r="E2293" s="10" t="s">
        <v>27</v>
      </c>
      <c r="F2293" s="6" t="s">
        <v>9</v>
      </c>
      <c r="G2293" s="8">
        <v>58.7</v>
      </c>
      <c r="H2293" s="6"/>
    </row>
    <row r="2294" spans="1:8">
      <c r="A2294" s="5">
        <v>1917</v>
      </c>
      <c r="B2294" s="6" t="str">
        <f>"宋国娇"</f>
        <v>宋国娇</v>
      </c>
      <c r="C2294" s="6" t="str">
        <f t="shared" si="106"/>
        <v>女</v>
      </c>
      <c r="D2294" s="6" t="str">
        <f>"202127013408"</f>
        <v>202127013408</v>
      </c>
      <c r="E2294" s="10" t="s">
        <v>27</v>
      </c>
      <c r="F2294" s="6" t="s">
        <v>9</v>
      </c>
      <c r="G2294" s="8">
        <v>58.6</v>
      </c>
      <c r="H2294" s="6"/>
    </row>
    <row r="2295" spans="1:8">
      <c r="A2295" s="5">
        <v>1845</v>
      </c>
      <c r="B2295" s="6" t="str">
        <f>"王巧优"</f>
        <v>王巧优</v>
      </c>
      <c r="C2295" s="6" t="str">
        <f t="shared" si="106"/>
        <v>女</v>
      </c>
      <c r="D2295" s="6" t="str">
        <f>"202127013409"</f>
        <v>202127013409</v>
      </c>
      <c r="E2295" s="10" t="s">
        <v>27</v>
      </c>
      <c r="F2295" s="6" t="s">
        <v>9</v>
      </c>
      <c r="G2295" s="8">
        <v>67.25</v>
      </c>
      <c r="H2295" s="6"/>
    </row>
    <row r="2296" spans="1:8">
      <c r="A2296" s="5">
        <v>1942</v>
      </c>
      <c r="B2296" s="6" t="str">
        <f>"戴海玲"</f>
        <v>戴海玲</v>
      </c>
      <c r="C2296" s="6" t="str">
        <f t="shared" si="106"/>
        <v>女</v>
      </c>
      <c r="D2296" s="6" t="str">
        <f>"202127013410"</f>
        <v>202127013410</v>
      </c>
      <c r="E2296" s="10" t="s">
        <v>27</v>
      </c>
      <c r="F2296" s="6" t="s">
        <v>9</v>
      </c>
      <c r="G2296" s="8">
        <v>50.45</v>
      </c>
      <c r="H2296" s="6"/>
    </row>
    <row r="2297" spans="1:8">
      <c r="A2297" s="5">
        <v>1794</v>
      </c>
      <c r="B2297" s="6" t="str">
        <f>"邓春玲"</f>
        <v>邓春玲</v>
      </c>
      <c r="C2297" s="6" t="str">
        <f t="shared" ref="C2297:C2328" si="107">"女"</f>
        <v>女</v>
      </c>
      <c r="D2297" s="6" t="str">
        <f>"202127013411"</f>
        <v>202127013411</v>
      </c>
      <c r="E2297" s="10" t="s">
        <v>27</v>
      </c>
      <c r="F2297" s="6" t="s">
        <v>9</v>
      </c>
      <c r="G2297" s="8">
        <v>0</v>
      </c>
      <c r="H2297" s="9">
        <v>1</v>
      </c>
    </row>
    <row r="2298" spans="1:8">
      <c r="A2298" s="5">
        <v>1970</v>
      </c>
      <c r="B2298" s="6" t="str">
        <f>"朱明莲"</f>
        <v>朱明莲</v>
      </c>
      <c r="C2298" s="6" t="str">
        <f t="shared" si="107"/>
        <v>女</v>
      </c>
      <c r="D2298" s="6" t="str">
        <f>"202127013412"</f>
        <v>202127013412</v>
      </c>
      <c r="E2298" s="10" t="s">
        <v>27</v>
      </c>
      <c r="F2298" s="6" t="s">
        <v>9</v>
      </c>
      <c r="G2298" s="8">
        <v>55.75</v>
      </c>
      <c r="H2298" s="6"/>
    </row>
    <row r="2299" spans="1:8">
      <c r="A2299" s="5">
        <v>2085</v>
      </c>
      <c r="B2299" s="6" t="str">
        <f>"李婷"</f>
        <v>李婷</v>
      </c>
      <c r="C2299" s="6" t="str">
        <f t="shared" si="107"/>
        <v>女</v>
      </c>
      <c r="D2299" s="6" t="str">
        <f>"202127013413"</f>
        <v>202127013413</v>
      </c>
      <c r="E2299" s="10" t="s">
        <v>27</v>
      </c>
      <c r="F2299" s="6" t="s">
        <v>9</v>
      </c>
      <c r="G2299" s="8">
        <v>0</v>
      </c>
      <c r="H2299" s="9">
        <v>1</v>
      </c>
    </row>
    <row r="2300" spans="1:8">
      <c r="A2300" s="5">
        <v>2023</v>
      </c>
      <c r="B2300" s="6" t="str">
        <f>"郭艳春"</f>
        <v>郭艳春</v>
      </c>
      <c r="C2300" s="6" t="str">
        <f t="shared" si="107"/>
        <v>女</v>
      </c>
      <c r="D2300" s="6" t="str">
        <f>"202127013414"</f>
        <v>202127013414</v>
      </c>
      <c r="E2300" s="10" t="s">
        <v>27</v>
      </c>
      <c r="F2300" s="6" t="s">
        <v>9</v>
      </c>
      <c r="G2300" s="8">
        <v>61.8</v>
      </c>
      <c r="H2300" s="6"/>
    </row>
    <row r="2301" spans="1:8">
      <c r="A2301" s="5">
        <v>1813</v>
      </c>
      <c r="B2301" s="6" t="str">
        <f>"訾玉娇"</f>
        <v>訾玉娇</v>
      </c>
      <c r="C2301" s="6" t="str">
        <f t="shared" si="107"/>
        <v>女</v>
      </c>
      <c r="D2301" s="6" t="str">
        <f>"202127013415"</f>
        <v>202127013415</v>
      </c>
      <c r="E2301" s="10" t="s">
        <v>27</v>
      </c>
      <c r="F2301" s="6" t="s">
        <v>9</v>
      </c>
      <c r="G2301" s="8">
        <v>55.2</v>
      </c>
      <c r="H2301" s="6"/>
    </row>
    <row r="2302" spans="1:8">
      <c r="A2302" s="5">
        <v>1864</v>
      </c>
      <c r="B2302" s="6" t="str">
        <f>"李霞"</f>
        <v>李霞</v>
      </c>
      <c r="C2302" s="6" t="str">
        <f t="shared" si="107"/>
        <v>女</v>
      </c>
      <c r="D2302" s="6" t="str">
        <f>"202127013416"</f>
        <v>202127013416</v>
      </c>
      <c r="E2302" s="10" t="s">
        <v>27</v>
      </c>
      <c r="F2302" s="6" t="s">
        <v>9</v>
      </c>
      <c r="G2302" s="8">
        <v>55.85</v>
      </c>
      <c r="H2302" s="6"/>
    </row>
    <row r="2303" spans="1:8">
      <c r="A2303" s="5">
        <v>1974</v>
      </c>
      <c r="B2303" s="6" t="str">
        <f>"王双"</f>
        <v>王双</v>
      </c>
      <c r="C2303" s="6" t="str">
        <f t="shared" si="107"/>
        <v>女</v>
      </c>
      <c r="D2303" s="6" t="str">
        <f>"202127013417"</f>
        <v>202127013417</v>
      </c>
      <c r="E2303" s="10" t="s">
        <v>27</v>
      </c>
      <c r="F2303" s="6" t="s">
        <v>9</v>
      </c>
      <c r="G2303" s="8">
        <v>58</v>
      </c>
      <c r="H2303" s="6"/>
    </row>
    <row r="2304" spans="1:8">
      <c r="A2304" s="5">
        <v>2354</v>
      </c>
      <c r="B2304" s="6" t="str">
        <f>"胡雪佳"</f>
        <v>胡雪佳</v>
      </c>
      <c r="C2304" s="6" t="str">
        <f t="shared" si="107"/>
        <v>女</v>
      </c>
      <c r="D2304" s="6" t="str">
        <f>"202127013418"</f>
        <v>202127013418</v>
      </c>
      <c r="E2304" s="10" t="s">
        <v>27</v>
      </c>
      <c r="F2304" s="6" t="s">
        <v>9</v>
      </c>
      <c r="G2304" s="8">
        <v>64.7</v>
      </c>
      <c r="H2304" s="6"/>
    </row>
    <row r="2305" spans="1:8">
      <c r="A2305" s="5">
        <v>1955</v>
      </c>
      <c r="B2305" s="6" t="str">
        <f>"尹园园"</f>
        <v>尹园园</v>
      </c>
      <c r="C2305" s="6" t="str">
        <f t="shared" si="107"/>
        <v>女</v>
      </c>
      <c r="D2305" s="6" t="str">
        <f>"202127013419"</f>
        <v>202127013419</v>
      </c>
      <c r="E2305" s="10" t="s">
        <v>27</v>
      </c>
      <c r="F2305" s="6" t="s">
        <v>9</v>
      </c>
      <c r="G2305" s="8">
        <v>59.4</v>
      </c>
      <c r="H2305" s="6"/>
    </row>
    <row r="2306" spans="1:8">
      <c r="A2306" s="5">
        <v>2415</v>
      </c>
      <c r="B2306" s="6" t="str">
        <f>"李新"</f>
        <v>李新</v>
      </c>
      <c r="C2306" s="6" t="str">
        <f t="shared" si="107"/>
        <v>女</v>
      </c>
      <c r="D2306" s="6" t="str">
        <f>"202127013420"</f>
        <v>202127013420</v>
      </c>
      <c r="E2306" s="10" t="s">
        <v>27</v>
      </c>
      <c r="F2306" s="6" t="s">
        <v>9</v>
      </c>
      <c r="G2306" s="8">
        <v>64.5</v>
      </c>
      <c r="H2306" s="6"/>
    </row>
    <row r="2307" spans="1:8">
      <c r="A2307" s="5">
        <v>1807</v>
      </c>
      <c r="B2307" s="6" t="str">
        <f>"霍叶丽"</f>
        <v>霍叶丽</v>
      </c>
      <c r="C2307" s="6" t="str">
        <f t="shared" si="107"/>
        <v>女</v>
      </c>
      <c r="D2307" s="6" t="str">
        <f>"202127013421"</f>
        <v>202127013421</v>
      </c>
      <c r="E2307" s="10" t="s">
        <v>27</v>
      </c>
      <c r="F2307" s="6" t="s">
        <v>9</v>
      </c>
      <c r="G2307" s="8">
        <v>48.2</v>
      </c>
      <c r="H2307" s="6"/>
    </row>
    <row r="2308" spans="1:8">
      <c r="A2308" s="5">
        <v>2117</v>
      </c>
      <c r="B2308" s="6" t="str">
        <f>"李亚男"</f>
        <v>李亚男</v>
      </c>
      <c r="C2308" s="6" t="str">
        <f t="shared" si="107"/>
        <v>女</v>
      </c>
      <c r="D2308" s="6" t="str">
        <f>"202127013422"</f>
        <v>202127013422</v>
      </c>
      <c r="E2308" s="10" t="s">
        <v>27</v>
      </c>
      <c r="F2308" s="6" t="s">
        <v>9</v>
      </c>
      <c r="G2308" s="8">
        <v>48.45</v>
      </c>
      <c r="H2308" s="6"/>
    </row>
    <row r="2309" spans="1:8">
      <c r="A2309" s="5">
        <v>1772</v>
      </c>
      <c r="B2309" s="6" t="str">
        <f>"杨帆"</f>
        <v>杨帆</v>
      </c>
      <c r="C2309" s="6" t="str">
        <f t="shared" si="107"/>
        <v>女</v>
      </c>
      <c r="D2309" s="6" t="str">
        <f>"202127013423"</f>
        <v>202127013423</v>
      </c>
      <c r="E2309" s="10" t="s">
        <v>27</v>
      </c>
      <c r="F2309" s="6" t="s">
        <v>9</v>
      </c>
      <c r="G2309" s="8">
        <v>62</v>
      </c>
      <c r="H2309" s="6"/>
    </row>
    <row r="2310" spans="1:8">
      <c r="A2310" s="5">
        <v>2150</v>
      </c>
      <c r="B2310" s="6" t="str">
        <f>"廖紫涵"</f>
        <v>廖紫涵</v>
      </c>
      <c r="C2310" s="6" t="str">
        <f t="shared" si="107"/>
        <v>女</v>
      </c>
      <c r="D2310" s="6" t="str">
        <f>"202127013424"</f>
        <v>202127013424</v>
      </c>
      <c r="E2310" s="10" t="s">
        <v>27</v>
      </c>
      <c r="F2310" s="6" t="s">
        <v>9</v>
      </c>
      <c r="G2310" s="8">
        <v>58.55</v>
      </c>
      <c r="H2310" s="6"/>
    </row>
    <row r="2311" spans="1:8">
      <c r="A2311" s="5">
        <v>1853</v>
      </c>
      <c r="B2311" s="6" t="str">
        <f>"曾紫微"</f>
        <v>曾紫微</v>
      </c>
      <c r="C2311" s="6" t="str">
        <f t="shared" si="107"/>
        <v>女</v>
      </c>
      <c r="D2311" s="6" t="str">
        <f>"202127013425"</f>
        <v>202127013425</v>
      </c>
      <c r="E2311" s="10" t="s">
        <v>27</v>
      </c>
      <c r="F2311" s="6" t="s">
        <v>9</v>
      </c>
      <c r="G2311" s="8">
        <v>61.8</v>
      </c>
      <c r="H2311" s="6"/>
    </row>
    <row r="2312" spans="1:8">
      <c r="A2312" s="5">
        <v>2092</v>
      </c>
      <c r="B2312" s="6" t="str">
        <f>"岳芒能"</f>
        <v>岳芒能</v>
      </c>
      <c r="C2312" s="6" t="str">
        <f t="shared" si="107"/>
        <v>女</v>
      </c>
      <c r="D2312" s="6" t="str">
        <f>"202127013426"</f>
        <v>202127013426</v>
      </c>
      <c r="E2312" s="10" t="s">
        <v>27</v>
      </c>
      <c r="F2312" s="6" t="s">
        <v>9</v>
      </c>
      <c r="G2312" s="8">
        <v>63.2</v>
      </c>
      <c r="H2312" s="6"/>
    </row>
    <row r="2313" spans="1:8">
      <c r="A2313" s="5">
        <v>2284</v>
      </c>
      <c r="B2313" s="6" t="str">
        <f>"林春娟"</f>
        <v>林春娟</v>
      </c>
      <c r="C2313" s="6" t="str">
        <f t="shared" si="107"/>
        <v>女</v>
      </c>
      <c r="D2313" s="6" t="str">
        <f>"202127013427"</f>
        <v>202127013427</v>
      </c>
      <c r="E2313" s="10" t="s">
        <v>27</v>
      </c>
      <c r="F2313" s="6" t="s">
        <v>9</v>
      </c>
      <c r="G2313" s="8">
        <v>16.100000000000001</v>
      </c>
      <c r="H2313" s="6"/>
    </row>
    <row r="2314" spans="1:8">
      <c r="A2314" s="5">
        <v>2289</v>
      </c>
      <c r="B2314" s="6" t="str">
        <f>"陈园园"</f>
        <v>陈园园</v>
      </c>
      <c r="C2314" s="6" t="str">
        <f t="shared" si="107"/>
        <v>女</v>
      </c>
      <c r="D2314" s="6" t="str">
        <f>"202127013428"</f>
        <v>202127013428</v>
      </c>
      <c r="E2314" s="10" t="s">
        <v>27</v>
      </c>
      <c r="F2314" s="6" t="s">
        <v>9</v>
      </c>
      <c r="G2314" s="8">
        <v>48.2</v>
      </c>
      <c r="H2314" s="6"/>
    </row>
    <row r="2315" spans="1:8">
      <c r="A2315" s="5">
        <v>1792</v>
      </c>
      <c r="B2315" s="6" t="str">
        <f>"吴蓉"</f>
        <v>吴蓉</v>
      </c>
      <c r="C2315" s="6" t="str">
        <f t="shared" si="107"/>
        <v>女</v>
      </c>
      <c r="D2315" s="6" t="str">
        <f>"202127013429"</f>
        <v>202127013429</v>
      </c>
      <c r="E2315" s="10" t="s">
        <v>27</v>
      </c>
      <c r="F2315" s="6" t="s">
        <v>9</v>
      </c>
      <c r="G2315" s="8">
        <v>58.75</v>
      </c>
      <c r="H2315" s="6"/>
    </row>
    <row r="2316" spans="1:8">
      <c r="A2316" s="5">
        <v>2186</v>
      </c>
      <c r="B2316" s="6" t="str">
        <f>"岳雅音"</f>
        <v>岳雅音</v>
      </c>
      <c r="C2316" s="6" t="str">
        <f t="shared" si="107"/>
        <v>女</v>
      </c>
      <c r="D2316" s="6" t="str">
        <f>"202127013430"</f>
        <v>202127013430</v>
      </c>
      <c r="E2316" s="10" t="s">
        <v>27</v>
      </c>
      <c r="F2316" s="6" t="s">
        <v>9</v>
      </c>
      <c r="G2316" s="8">
        <v>58.95</v>
      </c>
      <c r="H2316" s="6"/>
    </row>
    <row r="2317" spans="1:8">
      <c r="A2317" s="5">
        <v>2172</v>
      </c>
      <c r="B2317" s="6" t="str">
        <f>"李藕蓉"</f>
        <v>李藕蓉</v>
      </c>
      <c r="C2317" s="6" t="str">
        <f t="shared" si="107"/>
        <v>女</v>
      </c>
      <c r="D2317" s="6" t="str">
        <f>"202127013501"</f>
        <v>202127013501</v>
      </c>
      <c r="E2317" s="10" t="s">
        <v>27</v>
      </c>
      <c r="F2317" s="6" t="s">
        <v>9</v>
      </c>
      <c r="G2317" s="8">
        <v>61.25</v>
      </c>
      <c r="H2317" s="6"/>
    </row>
    <row r="2318" spans="1:8">
      <c r="A2318" s="5">
        <v>1894</v>
      </c>
      <c r="B2318" s="6" t="str">
        <f>"谢欣栩"</f>
        <v>谢欣栩</v>
      </c>
      <c r="C2318" s="6" t="str">
        <f t="shared" si="107"/>
        <v>女</v>
      </c>
      <c r="D2318" s="6" t="str">
        <f>"202127013502"</f>
        <v>202127013502</v>
      </c>
      <c r="E2318" s="10" t="s">
        <v>27</v>
      </c>
      <c r="F2318" s="6" t="s">
        <v>9</v>
      </c>
      <c r="G2318" s="8">
        <v>65.3</v>
      </c>
      <c r="H2318" s="6"/>
    </row>
    <row r="2319" spans="1:8">
      <c r="A2319" s="5">
        <v>2103</v>
      </c>
      <c r="B2319" s="6" t="str">
        <f>"刘洁妮"</f>
        <v>刘洁妮</v>
      </c>
      <c r="C2319" s="6" t="str">
        <f t="shared" si="107"/>
        <v>女</v>
      </c>
      <c r="D2319" s="6" t="str">
        <f>"202127013503"</f>
        <v>202127013503</v>
      </c>
      <c r="E2319" s="10" t="s">
        <v>27</v>
      </c>
      <c r="F2319" s="6" t="s">
        <v>9</v>
      </c>
      <c r="G2319" s="8">
        <v>63.2</v>
      </c>
      <c r="H2319" s="6"/>
    </row>
    <row r="2320" spans="1:8">
      <c r="A2320" s="5">
        <v>1893</v>
      </c>
      <c r="B2320" s="6" t="str">
        <f>"张思"</f>
        <v>张思</v>
      </c>
      <c r="C2320" s="6" t="str">
        <f t="shared" si="107"/>
        <v>女</v>
      </c>
      <c r="D2320" s="6" t="str">
        <f>"202127013504"</f>
        <v>202127013504</v>
      </c>
      <c r="E2320" s="10" t="s">
        <v>27</v>
      </c>
      <c r="F2320" s="6" t="s">
        <v>9</v>
      </c>
      <c r="G2320" s="8">
        <v>0</v>
      </c>
      <c r="H2320" s="9">
        <v>1</v>
      </c>
    </row>
    <row r="2321" spans="1:8">
      <c r="A2321" s="5">
        <v>1777</v>
      </c>
      <c r="B2321" s="6" t="str">
        <f>"郭芙蓉"</f>
        <v>郭芙蓉</v>
      </c>
      <c r="C2321" s="6" t="str">
        <f t="shared" si="107"/>
        <v>女</v>
      </c>
      <c r="D2321" s="6" t="str">
        <f>"202127013505"</f>
        <v>202127013505</v>
      </c>
      <c r="E2321" s="10" t="s">
        <v>27</v>
      </c>
      <c r="F2321" s="6" t="s">
        <v>9</v>
      </c>
      <c r="G2321" s="8">
        <v>61</v>
      </c>
      <c r="H2321" s="6"/>
    </row>
    <row r="2322" spans="1:8">
      <c r="A2322" s="5">
        <v>2357</v>
      </c>
      <c r="B2322" s="6" t="str">
        <f>"邓倩"</f>
        <v>邓倩</v>
      </c>
      <c r="C2322" s="6" t="str">
        <f t="shared" si="107"/>
        <v>女</v>
      </c>
      <c r="D2322" s="6" t="str">
        <f>"202127013506"</f>
        <v>202127013506</v>
      </c>
      <c r="E2322" s="10" t="s">
        <v>27</v>
      </c>
      <c r="F2322" s="6" t="s">
        <v>9</v>
      </c>
      <c r="G2322" s="8">
        <v>52.3</v>
      </c>
      <c r="H2322" s="6"/>
    </row>
    <row r="2323" spans="1:8">
      <c r="A2323" s="5">
        <v>1871</v>
      </c>
      <c r="B2323" s="6" t="str">
        <f>"李兵韩"</f>
        <v>李兵韩</v>
      </c>
      <c r="C2323" s="6" t="str">
        <f t="shared" si="107"/>
        <v>女</v>
      </c>
      <c r="D2323" s="6" t="str">
        <f>"202127013507"</f>
        <v>202127013507</v>
      </c>
      <c r="E2323" s="10" t="s">
        <v>27</v>
      </c>
      <c r="F2323" s="6" t="s">
        <v>9</v>
      </c>
      <c r="G2323" s="8">
        <v>64.05</v>
      </c>
      <c r="H2323" s="6"/>
    </row>
    <row r="2324" spans="1:8">
      <c r="A2324" s="5">
        <v>1816</v>
      </c>
      <c r="B2324" s="6" t="str">
        <f>"阮方方"</f>
        <v>阮方方</v>
      </c>
      <c r="C2324" s="6" t="str">
        <f t="shared" si="107"/>
        <v>女</v>
      </c>
      <c r="D2324" s="6" t="str">
        <f>"202127013508"</f>
        <v>202127013508</v>
      </c>
      <c r="E2324" s="10" t="s">
        <v>27</v>
      </c>
      <c r="F2324" s="6" t="s">
        <v>9</v>
      </c>
      <c r="G2324" s="8">
        <v>37.549999999999997</v>
      </c>
      <c r="H2324" s="6"/>
    </row>
    <row r="2325" spans="1:8">
      <c r="A2325" s="5">
        <v>2250</v>
      </c>
      <c r="B2325" s="6" t="str">
        <f>"刘晶"</f>
        <v>刘晶</v>
      </c>
      <c r="C2325" s="6" t="str">
        <f t="shared" si="107"/>
        <v>女</v>
      </c>
      <c r="D2325" s="6" t="str">
        <f>"202127013509"</f>
        <v>202127013509</v>
      </c>
      <c r="E2325" s="10" t="s">
        <v>27</v>
      </c>
      <c r="F2325" s="6" t="s">
        <v>9</v>
      </c>
      <c r="G2325" s="8">
        <v>63.5</v>
      </c>
      <c r="H2325" s="6"/>
    </row>
    <row r="2326" spans="1:8">
      <c r="A2326" s="5">
        <v>1949</v>
      </c>
      <c r="B2326" s="6" t="str">
        <f>"罗梦香"</f>
        <v>罗梦香</v>
      </c>
      <c r="C2326" s="6" t="str">
        <f t="shared" si="107"/>
        <v>女</v>
      </c>
      <c r="D2326" s="6" t="str">
        <f>"202127013510"</f>
        <v>202127013510</v>
      </c>
      <c r="E2326" s="10" t="s">
        <v>27</v>
      </c>
      <c r="F2326" s="6" t="s">
        <v>9</v>
      </c>
      <c r="G2326" s="8">
        <v>60.25</v>
      </c>
      <c r="H2326" s="6"/>
    </row>
    <row r="2327" spans="1:8">
      <c r="A2327" s="5">
        <v>2352</v>
      </c>
      <c r="B2327" s="6" t="str">
        <f>"方彩霞"</f>
        <v>方彩霞</v>
      </c>
      <c r="C2327" s="6" t="str">
        <f t="shared" si="107"/>
        <v>女</v>
      </c>
      <c r="D2327" s="6" t="str">
        <f>"202127013511"</f>
        <v>202127013511</v>
      </c>
      <c r="E2327" s="10" t="s">
        <v>27</v>
      </c>
      <c r="F2327" s="6" t="s">
        <v>9</v>
      </c>
      <c r="G2327" s="8">
        <v>46.7</v>
      </c>
      <c r="H2327" s="6"/>
    </row>
    <row r="2328" spans="1:8">
      <c r="A2328" s="5">
        <v>1998</v>
      </c>
      <c r="B2328" s="6" t="str">
        <f>"姚菁菁"</f>
        <v>姚菁菁</v>
      </c>
      <c r="C2328" s="6" t="str">
        <f t="shared" si="107"/>
        <v>女</v>
      </c>
      <c r="D2328" s="6" t="str">
        <f>"202127013512"</f>
        <v>202127013512</v>
      </c>
      <c r="E2328" s="10" t="s">
        <v>27</v>
      </c>
      <c r="F2328" s="6" t="s">
        <v>9</v>
      </c>
      <c r="G2328" s="8">
        <v>52.75</v>
      </c>
      <c r="H2328" s="6"/>
    </row>
    <row r="2329" spans="1:8">
      <c r="A2329" s="5">
        <v>1835</v>
      </c>
      <c r="B2329" s="6" t="str">
        <f>"蒋鸿情"</f>
        <v>蒋鸿情</v>
      </c>
      <c r="C2329" s="6" t="str">
        <f t="shared" ref="C2329:C2337" si="108">"女"</f>
        <v>女</v>
      </c>
      <c r="D2329" s="6" t="str">
        <f>"202127013513"</f>
        <v>202127013513</v>
      </c>
      <c r="E2329" s="10" t="s">
        <v>27</v>
      </c>
      <c r="F2329" s="6" t="s">
        <v>9</v>
      </c>
      <c r="G2329" s="8">
        <v>43.85</v>
      </c>
      <c r="H2329" s="6"/>
    </row>
    <row r="2330" spans="1:8">
      <c r="A2330" s="5">
        <v>2006</v>
      </c>
      <c r="B2330" s="6" t="str">
        <f>"郑宇津"</f>
        <v>郑宇津</v>
      </c>
      <c r="C2330" s="6" t="str">
        <f t="shared" si="108"/>
        <v>女</v>
      </c>
      <c r="D2330" s="6" t="str">
        <f>"202127013514"</f>
        <v>202127013514</v>
      </c>
      <c r="E2330" s="10" t="s">
        <v>27</v>
      </c>
      <c r="F2330" s="6" t="s">
        <v>9</v>
      </c>
      <c r="G2330" s="8">
        <v>49.15</v>
      </c>
      <c r="H2330" s="6"/>
    </row>
    <row r="2331" spans="1:8">
      <c r="A2331" s="5">
        <v>1933</v>
      </c>
      <c r="B2331" s="6" t="str">
        <f>"刘姗姗"</f>
        <v>刘姗姗</v>
      </c>
      <c r="C2331" s="6" t="str">
        <f t="shared" si="108"/>
        <v>女</v>
      </c>
      <c r="D2331" s="6" t="str">
        <f>"202127013515"</f>
        <v>202127013515</v>
      </c>
      <c r="E2331" s="10" t="s">
        <v>27</v>
      </c>
      <c r="F2331" s="6" t="s">
        <v>9</v>
      </c>
      <c r="G2331" s="8">
        <v>60.7</v>
      </c>
      <c r="H2331" s="6"/>
    </row>
    <row r="2332" spans="1:8">
      <c r="A2332" s="5">
        <v>2174</v>
      </c>
      <c r="B2332" s="6" t="str">
        <f>"李秋芳"</f>
        <v>李秋芳</v>
      </c>
      <c r="C2332" s="6" t="str">
        <f t="shared" si="108"/>
        <v>女</v>
      </c>
      <c r="D2332" s="6" t="str">
        <f>"202127013516"</f>
        <v>202127013516</v>
      </c>
      <c r="E2332" s="10" t="s">
        <v>27</v>
      </c>
      <c r="F2332" s="6" t="s">
        <v>9</v>
      </c>
      <c r="G2332" s="8">
        <v>59.5</v>
      </c>
      <c r="H2332" s="6"/>
    </row>
    <row r="2333" spans="1:8">
      <c r="A2333" s="5">
        <v>2067</v>
      </c>
      <c r="B2333" s="6" t="str">
        <f>"杨颂秋"</f>
        <v>杨颂秋</v>
      </c>
      <c r="C2333" s="6" t="str">
        <f t="shared" si="108"/>
        <v>女</v>
      </c>
      <c r="D2333" s="6" t="str">
        <f>"202127013517"</f>
        <v>202127013517</v>
      </c>
      <c r="E2333" s="10" t="s">
        <v>27</v>
      </c>
      <c r="F2333" s="6" t="s">
        <v>9</v>
      </c>
      <c r="G2333" s="8">
        <v>64.5</v>
      </c>
      <c r="H2333" s="6"/>
    </row>
    <row r="2334" spans="1:8">
      <c r="A2334" s="5">
        <v>2249</v>
      </c>
      <c r="B2334" s="6" t="str">
        <f>"乔艳"</f>
        <v>乔艳</v>
      </c>
      <c r="C2334" s="6" t="str">
        <f t="shared" si="108"/>
        <v>女</v>
      </c>
      <c r="D2334" s="6" t="str">
        <f>"202127013518"</f>
        <v>202127013518</v>
      </c>
      <c r="E2334" s="10" t="s">
        <v>27</v>
      </c>
      <c r="F2334" s="6" t="s">
        <v>9</v>
      </c>
      <c r="G2334" s="8">
        <v>56.75</v>
      </c>
      <c r="H2334" s="6"/>
    </row>
    <row r="2335" spans="1:8">
      <c r="A2335" s="5">
        <v>1896</v>
      </c>
      <c r="B2335" s="6" t="str">
        <f>"周兴兴"</f>
        <v>周兴兴</v>
      </c>
      <c r="C2335" s="6" t="str">
        <f t="shared" si="108"/>
        <v>女</v>
      </c>
      <c r="D2335" s="6" t="str">
        <f>"202127013519"</f>
        <v>202127013519</v>
      </c>
      <c r="E2335" s="10" t="s">
        <v>27</v>
      </c>
      <c r="F2335" s="6" t="s">
        <v>9</v>
      </c>
      <c r="G2335" s="8">
        <v>51.35</v>
      </c>
      <c r="H2335" s="6"/>
    </row>
    <row r="2336" spans="1:8">
      <c r="A2336" s="5">
        <v>2429</v>
      </c>
      <c r="B2336" s="6" t="str">
        <f>"吕馥荔"</f>
        <v>吕馥荔</v>
      </c>
      <c r="C2336" s="6" t="str">
        <f t="shared" si="108"/>
        <v>女</v>
      </c>
      <c r="D2336" s="6" t="str">
        <f>"202127013520"</f>
        <v>202127013520</v>
      </c>
      <c r="E2336" s="10" t="s">
        <v>27</v>
      </c>
      <c r="F2336" s="6" t="s">
        <v>9</v>
      </c>
      <c r="G2336" s="8">
        <v>24.75</v>
      </c>
      <c r="H2336" s="6"/>
    </row>
    <row r="2337" spans="1:8">
      <c r="A2337" s="5">
        <v>1888</v>
      </c>
      <c r="B2337" s="6" t="str">
        <f>"康涛涛"</f>
        <v>康涛涛</v>
      </c>
      <c r="C2337" s="6" t="str">
        <f t="shared" si="108"/>
        <v>女</v>
      </c>
      <c r="D2337" s="6" t="str">
        <f>"202127013521"</f>
        <v>202127013521</v>
      </c>
      <c r="E2337" s="10" t="s">
        <v>27</v>
      </c>
      <c r="F2337" s="6" t="s">
        <v>9</v>
      </c>
      <c r="G2337" s="8">
        <v>53.85</v>
      </c>
      <c r="H2337" s="6"/>
    </row>
    <row r="2338" spans="1:8">
      <c r="A2338" s="5">
        <v>1848</v>
      </c>
      <c r="B2338" s="6" t="str">
        <f>"胡皇"</f>
        <v>胡皇</v>
      </c>
      <c r="C2338" s="6" t="str">
        <f>"男"</f>
        <v>男</v>
      </c>
      <c r="D2338" s="6" t="str">
        <f>"202127013522"</f>
        <v>202127013522</v>
      </c>
      <c r="E2338" s="10" t="s">
        <v>27</v>
      </c>
      <c r="F2338" s="6" t="s">
        <v>9</v>
      </c>
      <c r="G2338" s="8">
        <v>55.55</v>
      </c>
      <c r="H2338" s="6"/>
    </row>
    <row r="2339" spans="1:8">
      <c r="A2339" s="5">
        <v>1938</v>
      </c>
      <c r="B2339" s="6" t="str">
        <f>"刘叶"</f>
        <v>刘叶</v>
      </c>
      <c r="C2339" s="6" t="str">
        <f>"女"</f>
        <v>女</v>
      </c>
      <c r="D2339" s="6" t="str">
        <f>"202127013523"</f>
        <v>202127013523</v>
      </c>
      <c r="E2339" s="10" t="s">
        <v>27</v>
      </c>
      <c r="F2339" s="6" t="s">
        <v>9</v>
      </c>
      <c r="G2339" s="8">
        <v>67.7</v>
      </c>
      <c r="H2339" s="6"/>
    </row>
    <row r="2340" spans="1:8">
      <c r="A2340" s="5">
        <v>1986</v>
      </c>
      <c r="B2340" s="6" t="str">
        <f>"宁小河"</f>
        <v>宁小河</v>
      </c>
      <c r="C2340" s="6" t="str">
        <f>"男"</f>
        <v>男</v>
      </c>
      <c r="D2340" s="6" t="str">
        <f>"202127013524"</f>
        <v>202127013524</v>
      </c>
      <c r="E2340" s="10" t="s">
        <v>27</v>
      </c>
      <c r="F2340" s="6" t="s">
        <v>9</v>
      </c>
      <c r="G2340" s="8">
        <v>0</v>
      </c>
      <c r="H2340" s="9">
        <v>1</v>
      </c>
    </row>
    <row r="2341" spans="1:8">
      <c r="A2341" s="5">
        <v>2163</v>
      </c>
      <c r="B2341" s="6" t="str">
        <f>"陈娜"</f>
        <v>陈娜</v>
      </c>
      <c r="C2341" s="6" t="str">
        <f t="shared" ref="C2341:C2377" si="109">"女"</f>
        <v>女</v>
      </c>
      <c r="D2341" s="6" t="str">
        <f>"202127013525"</f>
        <v>202127013525</v>
      </c>
      <c r="E2341" s="10" t="s">
        <v>27</v>
      </c>
      <c r="F2341" s="6" t="s">
        <v>9</v>
      </c>
      <c r="G2341" s="8">
        <v>57.75</v>
      </c>
      <c r="H2341" s="6"/>
    </row>
    <row r="2342" spans="1:8">
      <c r="A2342" s="5">
        <v>2057</v>
      </c>
      <c r="B2342" s="6" t="str">
        <f>"许丽"</f>
        <v>许丽</v>
      </c>
      <c r="C2342" s="6" t="str">
        <f t="shared" si="109"/>
        <v>女</v>
      </c>
      <c r="D2342" s="6" t="str">
        <f>"202127013526"</f>
        <v>202127013526</v>
      </c>
      <c r="E2342" s="10" t="s">
        <v>27</v>
      </c>
      <c r="F2342" s="6" t="s">
        <v>9</v>
      </c>
      <c r="G2342" s="8">
        <v>57.6</v>
      </c>
      <c r="H2342" s="6"/>
    </row>
    <row r="2343" spans="1:8">
      <c r="A2343" s="5">
        <v>1781</v>
      </c>
      <c r="B2343" s="6" t="str">
        <f>"卿立霞"</f>
        <v>卿立霞</v>
      </c>
      <c r="C2343" s="6" t="str">
        <f t="shared" si="109"/>
        <v>女</v>
      </c>
      <c r="D2343" s="6" t="str">
        <f>"202127013527"</f>
        <v>202127013527</v>
      </c>
      <c r="E2343" s="10" t="s">
        <v>27</v>
      </c>
      <c r="F2343" s="6" t="s">
        <v>9</v>
      </c>
      <c r="G2343" s="8">
        <v>46.9</v>
      </c>
      <c r="H2343" s="6"/>
    </row>
    <row r="2344" spans="1:8">
      <c r="A2344" s="5">
        <v>2292</v>
      </c>
      <c r="B2344" s="6" t="str">
        <f>"肖君斓"</f>
        <v>肖君斓</v>
      </c>
      <c r="C2344" s="6" t="str">
        <f t="shared" si="109"/>
        <v>女</v>
      </c>
      <c r="D2344" s="6" t="str">
        <f>"202127013528"</f>
        <v>202127013528</v>
      </c>
      <c r="E2344" s="10" t="s">
        <v>27</v>
      </c>
      <c r="F2344" s="6" t="s">
        <v>9</v>
      </c>
      <c r="G2344" s="8">
        <v>0</v>
      </c>
      <c r="H2344" s="9">
        <v>1</v>
      </c>
    </row>
    <row r="2345" spans="1:8">
      <c r="A2345" s="5">
        <v>1969</v>
      </c>
      <c r="B2345" s="6" t="str">
        <f>"覃萍"</f>
        <v>覃萍</v>
      </c>
      <c r="C2345" s="6" t="str">
        <f t="shared" si="109"/>
        <v>女</v>
      </c>
      <c r="D2345" s="6" t="str">
        <f>"202127013529"</f>
        <v>202127013529</v>
      </c>
      <c r="E2345" s="10" t="s">
        <v>27</v>
      </c>
      <c r="F2345" s="6" t="s">
        <v>9</v>
      </c>
      <c r="G2345" s="8">
        <v>54.75</v>
      </c>
      <c r="H2345" s="6"/>
    </row>
    <row r="2346" spans="1:8">
      <c r="A2346" s="5">
        <v>2413</v>
      </c>
      <c r="B2346" s="6" t="str">
        <f>"陈艮"</f>
        <v>陈艮</v>
      </c>
      <c r="C2346" s="6" t="str">
        <f t="shared" si="109"/>
        <v>女</v>
      </c>
      <c r="D2346" s="6" t="str">
        <f>"202127013530"</f>
        <v>202127013530</v>
      </c>
      <c r="E2346" s="10" t="s">
        <v>27</v>
      </c>
      <c r="F2346" s="6" t="s">
        <v>9</v>
      </c>
      <c r="G2346" s="8">
        <v>62.2</v>
      </c>
      <c r="H2346" s="6"/>
    </row>
    <row r="2347" spans="1:8">
      <c r="A2347" s="5">
        <v>2358</v>
      </c>
      <c r="B2347" s="6" t="str">
        <f>"林婷"</f>
        <v>林婷</v>
      </c>
      <c r="C2347" s="6" t="str">
        <f t="shared" si="109"/>
        <v>女</v>
      </c>
      <c r="D2347" s="6" t="str">
        <f>"202127013601"</f>
        <v>202127013601</v>
      </c>
      <c r="E2347" s="10" t="s">
        <v>27</v>
      </c>
      <c r="F2347" s="6" t="s">
        <v>9</v>
      </c>
      <c r="G2347" s="8">
        <v>49.05</v>
      </c>
      <c r="H2347" s="6"/>
    </row>
    <row r="2348" spans="1:8">
      <c r="A2348" s="5">
        <v>1990</v>
      </c>
      <c r="B2348" s="6" t="str">
        <f>"姚瑶"</f>
        <v>姚瑶</v>
      </c>
      <c r="C2348" s="6" t="str">
        <f t="shared" si="109"/>
        <v>女</v>
      </c>
      <c r="D2348" s="6" t="str">
        <f>"202127013602"</f>
        <v>202127013602</v>
      </c>
      <c r="E2348" s="10" t="s">
        <v>27</v>
      </c>
      <c r="F2348" s="6" t="s">
        <v>9</v>
      </c>
      <c r="G2348" s="8">
        <v>53.7</v>
      </c>
      <c r="H2348" s="6"/>
    </row>
    <row r="2349" spans="1:8">
      <c r="A2349" s="5">
        <v>2148</v>
      </c>
      <c r="B2349" s="6" t="str">
        <f>"尹朝辉"</f>
        <v>尹朝辉</v>
      </c>
      <c r="C2349" s="6" t="str">
        <f t="shared" si="109"/>
        <v>女</v>
      </c>
      <c r="D2349" s="6" t="str">
        <f>"202127013603"</f>
        <v>202127013603</v>
      </c>
      <c r="E2349" s="10" t="s">
        <v>27</v>
      </c>
      <c r="F2349" s="6" t="s">
        <v>9</v>
      </c>
      <c r="G2349" s="8">
        <v>58.6</v>
      </c>
      <c r="H2349" s="6"/>
    </row>
    <row r="2350" spans="1:8">
      <c r="A2350" s="5">
        <v>2216</v>
      </c>
      <c r="B2350" s="6" t="str">
        <f>"银冰宁"</f>
        <v>银冰宁</v>
      </c>
      <c r="C2350" s="6" t="str">
        <f t="shared" si="109"/>
        <v>女</v>
      </c>
      <c r="D2350" s="6" t="str">
        <f>"202127013604"</f>
        <v>202127013604</v>
      </c>
      <c r="E2350" s="10" t="s">
        <v>27</v>
      </c>
      <c r="F2350" s="6" t="s">
        <v>9</v>
      </c>
      <c r="G2350" s="8">
        <v>58.55</v>
      </c>
      <c r="H2350" s="6"/>
    </row>
    <row r="2351" spans="1:8">
      <c r="A2351" s="5">
        <v>2192</v>
      </c>
      <c r="B2351" s="6" t="str">
        <f>"邓淅从"</f>
        <v>邓淅从</v>
      </c>
      <c r="C2351" s="6" t="str">
        <f t="shared" si="109"/>
        <v>女</v>
      </c>
      <c r="D2351" s="6" t="str">
        <f>"202127013605"</f>
        <v>202127013605</v>
      </c>
      <c r="E2351" s="10" t="s">
        <v>27</v>
      </c>
      <c r="F2351" s="6" t="s">
        <v>9</v>
      </c>
      <c r="G2351" s="8">
        <v>67.349999999999994</v>
      </c>
      <c r="H2351" s="6"/>
    </row>
    <row r="2352" spans="1:8">
      <c r="A2352" s="5">
        <v>1959</v>
      </c>
      <c r="B2352" s="6" t="str">
        <f>"许彬彬"</f>
        <v>许彬彬</v>
      </c>
      <c r="C2352" s="6" t="str">
        <f t="shared" si="109"/>
        <v>女</v>
      </c>
      <c r="D2352" s="6" t="str">
        <f>"202127013606"</f>
        <v>202127013606</v>
      </c>
      <c r="E2352" s="10" t="s">
        <v>27</v>
      </c>
      <c r="F2352" s="6" t="s">
        <v>9</v>
      </c>
      <c r="G2352" s="8">
        <v>53.1</v>
      </c>
      <c r="H2352" s="6"/>
    </row>
    <row r="2353" spans="1:8">
      <c r="A2353" s="5">
        <v>2364</v>
      </c>
      <c r="B2353" s="6" t="str">
        <f>"王洁慧"</f>
        <v>王洁慧</v>
      </c>
      <c r="C2353" s="6" t="str">
        <f t="shared" si="109"/>
        <v>女</v>
      </c>
      <c r="D2353" s="6" t="str">
        <f>"202127013607"</f>
        <v>202127013607</v>
      </c>
      <c r="E2353" s="10" t="s">
        <v>27</v>
      </c>
      <c r="F2353" s="6" t="s">
        <v>9</v>
      </c>
      <c r="G2353" s="8">
        <v>51.55</v>
      </c>
      <c r="H2353" s="6"/>
    </row>
    <row r="2354" spans="1:8">
      <c r="A2354" s="5">
        <v>1876</v>
      </c>
      <c r="B2354" s="6" t="str">
        <f>"梁希灏"</f>
        <v>梁希灏</v>
      </c>
      <c r="C2354" s="6" t="str">
        <f t="shared" si="109"/>
        <v>女</v>
      </c>
      <c r="D2354" s="6" t="str">
        <f>"202127013608"</f>
        <v>202127013608</v>
      </c>
      <c r="E2354" s="10" t="s">
        <v>27</v>
      </c>
      <c r="F2354" s="6" t="s">
        <v>9</v>
      </c>
      <c r="G2354" s="8">
        <v>55</v>
      </c>
      <c r="H2354" s="6"/>
    </row>
    <row r="2355" spans="1:8">
      <c r="A2355" s="5">
        <v>1863</v>
      </c>
      <c r="B2355" s="6" t="str">
        <f>"徐娇"</f>
        <v>徐娇</v>
      </c>
      <c r="C2355" s="6" t="str">
        <f t="shared" si="109"/>
        <v>女</v>
      </c>
      <c r="D2355" s="6" t="str">
        <f>"202127013609"</f>
        <v>202127013609</v>
      </c>
      <c r="E2355" s="10" t="s">
        <v>27</v>
      </c>
      <c r="F2355" s="6" t="s">
        <v>9</v>
      </c>
      <c r="G2355" s="8">
        <v>66.7</v>
      </c>
      <c r="H2355" s="6"/>
    </row>
    <row r="2356" spans="1:8">
      <c r="A2356" s="5">
        <v>2414</v>
      </c>
      <c r="B2356" s="6" t="str">
        <f>"刘丽蓉"</f>
        <v>刘丽蓉</v>
      </c>
      <c r="C2356" s="6" t="str">
        <f t="shared" si="109"/>
        <v>女</v>
      </c>
      <c r="D2356" s="6" t="str">
        <f>"202127013610"</f>
        <v>202127013610</v>
      </c>
      <c r="E2356" s="10" t="s">
        <v>27</v>
      </c>
      <c r="F2356" s="6" t="s">
        <v>9</v>
      </c>
      <c r="G2356" s="8">
        <v>60</v>
      </c>
      <c r="H2356" s="6"/>
    </row>
    <row r="2357" spans="1:8">
      <c r="A2357" s="5">
        <v>2345</v>
      </c>
      <c r="B2357" s="6" t="str">
        <f>"范静"</f>
        <v>范静</v>
      </c>
      <c r="C2357" s="6" t="str">
        <f t="shared" si="109"/>
        <v>女</v>
      </c>
      <c r="D2357" s="6" t="str">
        <f>"202127013611"</f>
        <v>202127013611</v>
      </c>
      <c r="E2357" s="10" t="s">
        <v>27</v>
      </c>
      <c r="F2357" s="6" t="s">
        <v>9</v>
      </c>
      <c r="G2357" s="8">
        <v>0</v>
      </c>
      <c r="H2357" s="9">
        <v>1</v>
      </c>
    </row>
    <row r="2358" spans="1:8">
      <c r="A2358" s="5">
        <v>1935</v>
      </c>
      <c r="B2358" s="6" t="str">
        <f>"李婷"</f>
        <v>李婷</v>
      </c>
      <c r="C2358" s="6" t="str">
        <f t="shared" si="109"/>
        <v>女</v>
      </c>
      <c r="D2358" s="6" t="str">
        <f>"202127013612"</f>
        <v>202127013612</v>
      </c>
      <c r="E2358" s="10" t="s">
        <v>27</v>
      </c>
      <c r="F2358" s="6" t="s">
        <v>9</v>
      </c>
      <c r="G2358" s="8">
        <v>0</v>
      </c>
      <c r="H2358" s="9">
        <v>1</v>
      </c>
    </row>
    <row r="2359" spans="1:8">
      <c r="A2359" s="5">
        <v>1763</v>
      </c>
      <c r="B2359" s="6" t="str">
        <f>"伍珍"</f>
        <v>伍珍</v>
      </c>
      <c r="C2359" s="6" t="str">
        <f t="shared" si="109"/>
        <v>女</v>
      </c>
      <c r="D2359" s="6" t="str">
        <f>"202127013613"</f>
        <v>202127013613</v>
      </c>
      <c r="E2359" s="10" t="s">
        <v>27</v>
      </c>
      <c r="F2359" s="6" t="s">
        <v>9</v>
      </c>
      <c r="G2359" s="8">
        <v>56.9</v>
      </c>
      <c r="H2359" s="6"/>
    </row>
    <row r="2360" spans="1:8">
      <c r="A2360" s="5">
        <v>1829</v>
      </c>
      <c r="B2360" s="6" t="str">
        <f>"陈辉"</f>
        <v>陈辉</v>
      </c>
      <c r="C2360" s="6" t="str">
        <f t="shared" si="109"/>
        <v>女</v>
      </c>
      <c r="D2360" s="6" t="str">
        <f>"202127013614"</f>
        <v>202127013614</v>
      </c>
      <c r="E2360" s="10" t="s">
        <v>27</v>
      </c>
      <c r="F2360" s="6" t="s">
        <v>9</v>
      </c>
      <c r="G2360" s="8">
        <v>59.95</v>
      </c>
      <c r="H2360" s="6"/>
    </row>
    <row r="2361" spans="1:8">
      <c r="A2361" s="5">
        <v>2224</v>
      </c>
      <c r="B2361" s="6" t="str">
        <f>"杨雪虹"</f>
        <v>杨雪虹</v>
      </c>
      <c r="C2361" s="6" t="str">
        <f t="shared" si="109"/>
        <v>女</v>
      </c>
      <c r="D2361" s="6" t="str">
        <f>"202127013615"</f>
        <v>202127013615</v>
      </c>
      <c r="E2361" s="10" t="s">
        <v>27</v>
      </c>
      <c r="F2361" s="6" t="s">
        <v>9</v>
      </c>
      <c r="G2361" s="8">
        <v>50.95</v>
      </c>
      <c r="H2361" s="6"/>
    </row>
    <row r="2362" spans="1:8">
      <c r="A2362" s="5">
        <v>2432</v>
      </c>
      <c r="B2362" s="6" t="str">
        <f>"夏红梅"</f>
        <v>夏红梅</v>
      </c>
      <c r="C2362" s="6" t="str">
        <f t="shared" si="109"/>
        <v>女</v>
      </c>
      <c r="D2362" s="6" t="str">
        <f>"202127013616"</f>
        <v>202127013616</v>
      </c>
      <c r="E2362" s="10" t="s">
        <v>27</v>
      </c>
      <c r="F2362" s="6" t="s">
        <v>9</v>
      </c>
      <c r="G2362" s="8">
        <v>60.9</v>
      </c>
      <c r="H2362" s="6"/>
    </row>
    <row r="2363" spans="1:8">
      <c r="A2363" s="5">
        <v>1926</v>
      </c>
      <c r="B2363" s="6" t="str">
        <f>"陈思宇"</f>
        <v>陈思宇</v>
      </c>
      <c r="C2363" s="6" t="str">
        <f t="shared" si="109"/>
        <v>女</v>
      </c>
      <c r="D2363" s="6" t="str">
        <f>"202127013617"</f>
        <v>202127013617</v>
      </c>
      <c r="E2363" s="10" t="s">
        <v>27</v>
      </c>
      <c r="F2363" s="6" t="s">
        <v>9</v>
      </c>
      <c r="G2363" s="8">
        <v>52.4</v>
      </c>
      <c r="H2363" s="6"/>
    </row>
    <row r="2364" spans="1:8">
      <c r="A2364" s="5">
        <v>2340</v>
      </c>
      <c r="B2364" s="6" t="str">
        <f>"黄佩如"</f>
        <v>黄佩如</v>
      </c>
      <c r="C2364" s="6" t="str">
        <f t="shared" si="109"/>
        <v>女</v>
      </c>
      <c r="D2364" s="6" t="str">
        <f>"202127013618"</f>
        <v>202127013618</v>
      </c>
      <c r="E2364" s="10" t="s">
        <v>27</v>
      </c>
      <c r="F2364" s="6" t="s">
        <v>9</v>
      </c>
      <c r="G2364" s="8">
        <v>59.25</v>
      </c>
      <c r="H2364" s="6"/>
    </row>
    <row r="2365" spans="1:8">
      <c r="A2365" s="5">
        <v>2254</v>
      </c>
      <c r="B2365" s="6" t="str">
        <f>"粟馨"</f>
        <v>粟馨</v>
      </c>
      <c r="C2365" s="6" t="str">
        <f t="shared" si="109"/>
        <v>女</v>
      </c>
      <c r="D2365" s="6" t="str">
        <f>"202127013619"</f>
        <v>202127013619</v>
      </c>
      <c r="E2365" s="10" t="s">
        <v>27</v>
      </c>
      <c r="F2365" s="6" t="s">
        <v>9</v>
      </c>
      <c r="G2365" s="8">
        <v>54.35</v>
      </c>
      <c r="H2365" s="6"/>
    </row>
    <row r="2366" spans="1:8">
      <c r="A2366" s="5">
        <v>2090</v>
      </c>
      <c r="B2366" s="6" t="str">
        <f>"莫叙娴"</f>
        <v>莫叙娴</v>
      </c>
      <c r="C2366" s="6" t="str">
        <f t="shared" si="109"/>
        <v>女</v>
      </c>
      <c r="D2366" s="6" t="str">
        <f>"202127013620"</f>
        <v>202127013620</v>
      </c>
      <c r="E2366" s="10" t="s">
        <v>27</v>
      </c>
      <c r="F2366" s="6" t="s">
        <v>9</v>
      </c>
      <c r="G2366" s="8">
        <v>63.5</v>
      </c>
      <c r="H2366" s="6"/>
    </row>
    <row r="2367" spans="1:8">
      <c r="A2367" s="5">
        <v>1767</v>
      </c>
      <c r="B2367" s="6" t="str">
        <f>"柳姣姣"</f>
        <v>柳姣姣</v>
      </c>
      <c r="C2367" s="6" t="str">
        <f t="shared" si="109"/>
        <v>女</v>
      </c>
      <c r="D2367" s="6" t="str">
        <f>"202127013621"</f>
        <v>202127013621</v>
      </c>
      <c r="E2367" s="10" t="s">
        <v>27</v>
      </c>
      <c r="F2367" s="6" t="s">
        <v>9</v>
      </c>
      <c r="G2367" s="8">
        <v>60.05</v>
      </c>
      <c r="H2367" s="6"/>
    </row>
    <row r="2368" spans="1:8">
      <c r="A2368" s="5">
        <v>2001</v>
      </c>
      <c r="B2368" s="6" t="str">
        <f>"李紫葳"</f>
        <v>李紫葳</v>
      </c>
      <c r="C2368" s="6" t="str">
        <f t="shared" si="109"/>
        <v>女</v>
      </c>
      <c r="D2368" s="6" t="str">
        <f>"202127013622"</f>
        <v>202127013622</v>
      </c>
      <c r="E2368" s="10" t="s">
        <v>27</v>
      </c>
      <c r="F2368" s="6" t="s">
        <v>9</v>
      </c>
      <c r="G2368" s="8">
        <v>62.9</v>
      </c>
      <c r="H2368" s="6"/>
    </row>
    <row r="2369" spans="1:8">
      <c r="A2369" s="5">
        <v>2118</v>
      </c>
      <c r="B2369" s="6" t="str">
        <f>"米广红"</f>
        <v>米广红</v>
      </c>
      <c r="C2369" s="6" t="str">
        <f t="shared" si="109"/>
        <v>女</v>
      </c>
      <c r="D2369" s="6" t="str">
        <f>"202127013623"</f>
        <v>202127013623</v>
      </c>
      <c r="E2369" s="10" t="s">
        <v>27</v>
      </c>
      <c r="F2369" s="6" t="s">
        <v>9</v>
      </c>
      <c r="G2369" s="8">
        <v>0</v>
      </c>
      <c r="H2369" s="9">
        <v>1</v>
      </c>
    </row>
    <row r="2370" spans="1:8">
      <c r="A2370" s="5">
        <v>2297</v>
      </c>
      <c r="B2370" s="6" t="str">
        <f>"刘丹"</f>
        <v>刘丹</v>
      </c>
      <c r="C2370" s="6" t="str">
        <f t="shared" si="109"/>
        <v>女</v>
      </c>
      <c r="D2370" s="6" t="str">
        <f>"202127013624"</f>
        <v>202127013624</v>
      </c>
      <c r="E2370" s="10" t="s">
        <v>27</v>
      </c>
      <c r="F2370" s="6" t="s">
        <v>9</v>
      </c>
      <c r="G2370" s="8">
        <v>52.65</v>
      </c>
      <c r="H2370" s="6"/>
    </row>
    <row r="2371" spans="1:8">
      <c r="A2371" s="5">
        <v>1901</v>
      </c>
      <c r="B2371" s="6" t="str">
        <f>"曾令梅"</f>
        <v>曾令梅</v>
      </c>
      <c r="C2371" s="6" t="str">
        <f t="shared" si="109"/>
        <v>女</v>
      </c>
      <c r="D2371" s="6" t="str">
        <f>"202127013625"</f>
        <v>202127013625</v>
      </c>
      <c r="E2371" s="10" t="s">
        <v>27</v>
      </c>
      <c r="F2371" s="6" t="s">
        <v>9</v>
      </c>
      <c r="G2371" s="8">
        <v>66.099999999999994</v>
      </c>
      <c r="H2371" s="6"/>
    </row>
    <row r="2372" spans="1:8">
      <c r="A2372" s="5">
        <v>1882</v>
      </c>
      <c r="B2372" s="6" t="str">
        <f>"谢晔"</f>
        <v>谢晔</v>
      </c>
      <c r="C2372" s="6" t="str">
        <f t="shared" si="109"/>
        <v>女</v>
      </c>
      <c r="D2372" s="6" t="str">
        <f>"202127013626"</f>
        <v>202127013626</v>
      </c>
      <c r="E2372" s="10" t="s">
        <v>27</v>
      </c>
      <c r="F2372" s="6" t="s">
        <v>9</v>
      </c>
      <c r="G2372" s="8">
        <v>64.599999999999994</v>
      </c>
      <c r="H2372" s="6"/>
    </row>
    <row r="2373" spans="1:8">
      <c r="A2373" s="5">
        <v>2169</v>
      </c>
      <c r="B2373" s="6" t="str">
        <f>"刘娓"</f>
        <v>刘娓</v>
      </c>
      <c r="C2373" s="6" t="str">
        <f t="shared" si="109"/>
        <v>女</v>
      </c>
      <c r="D2373" s="6" t="str">
        <f>"202127013627"</f>
        <v>202127013627</v>
      </c>
      <c r="E2373" s="10" t="s">
        <v>27</v>
      </c>
      <c r="F2373" s="6" t="s">
        <v>9</v>
      </c>
      <c r="G2373" s="8">
        <v>62.2</v>
      </c>
      <c r="H2373" s="6"/>
    </row>
    <row r="2374" spans="1:8">
      <c r="A2374" s="5">
        <v>2397</v>
      </c>
      <c r="B2374" s="6" t="str">
        <f>"彭慧"</f>
        <v>彭慧</v>
      </c>
      <c r="C2374" s="6" t="str">
        <f t="shared" si="109"/>
        <v>女</v>
      </c>
      <c r="D2374" s="6" t="str">
        <f>"202127013628"</f>
        <v>202127013628</v>
      </c>
      <c r="E2374" s="10" t="s">
        <v>27</v>
      </c>
      <c r="F2374" s="6" t="s">
        <v>9</v>
      </c>
      <c r="G2374" s="8">
        <v>61.65</v>
      </c>
      <c r="H2374" s="6"/>
    </row>
    <row r="2375" spans="1:8">
      <c r="A2375" s="5">
        <v>1963</v>
      </c>
      <c r="B2375" s="6" t="str">
        <f>"朱雪君"</f>
        <v>朱雪君</v>
      </c>
      <c r="C2375" s="6" t="str">
        <f t="shared" si="109"/>
        <v>女</v>
      </c>
      <c r="D2375" s="6" t="str">
        <f>"202127013629"</f>
        <v>202127013629</v>
      </c>
      <c r="E2375" s="10" t="s">
        <v>27</v>
      </c>
      <c r="F2375" s="6" t="s">
        <v>9</v>
      </c>
      <c r="G2375" s="8">
        <v>51.5</v>
      </c>
      <c r="H2375" s="6"/>
    </row>
    <row r="2376" spans="1:8">
      <c r="A2376" s="5">
        <v>1793</v>
      </c>
      <c r="B2376" s="6" t="str">
        <f>"袁琳裕"</f>
        <v>袁琳裕</v>
      </c>
      <c r="C2376" s="6" t="str">
        <f t="shared" si="109"/>
        <v>女</v>
      </c>
      <c r="D2376" s="6" t="str">
        <f>"202127013630"</f>
        <v>202127013630</v>
      </c>
      <c r="E2376" s="10" t="s">
        <v>27</v>
      </c>
      <c r="F2376" s="6" t="s">
        <v>9</v>
      </c>
      <c r="G2376" s="8">
        <v>59.8</v>
      </c>
      <c r="H2376" s="6"/>
    </row>
    <row r="2377" spans="1:8">
      <c r="A2377" s="5">
        <v>2430</v>
      </c>
      <c r="B2377" s="6" t="str">
        <f>"陈蓓蕾"</f>
        <v>陈蓓蕾</v>
      </c>
      <c r="C2377" s="6" t="str">
        <f t="shared" si="109"/>
        <v>女</v>
      </c>
      <c r="D2377" s="6" t="str">
        <f>"202127013701"</f>
        <v>202127013701</v>
      </c>
      <c r="E2377" s="10" t="s">
        <v>27</v>
      </c>
      <c r="F2377" s="6" t="s">
        <v>9</v>
      </c>
      <c r="G2377" s="8">
        <v>58.7</v>
      </c>
      <c r="H2377" s="6"/>
    </row>
    <row r="2378" spans="1:8">
      <c r="A2378" s="5">
        <v>1982</v>
      </c>
      <c r="B2378" s="6" t="str">
        <f>"杨飞焱"</f>
        <v>杨飞焱</v>
      </c>
      <c r="C2378" s="6" t="str">
        <f>"男"</f>
        <v>男</v>
      </c>
      <c r="D2378" s="6" t="str">
        <f>"202127013702"</f>
        <v>202127013702</v>
      </c>
      <c r="E2378" s="10" t="s">
        <v>27</v>
      </c>
      <c r="F2378" s="6" t="s">
        <v>9</v>
      </c>
      <c r="G2378" s="8">
        <v>66.349999999999994</v>
      </c>
      <c r="H2378" s="6"/>
    </row>
    <row r="2379" spans="1:8">
      <c r="A2379" s="5">
        <v>1944</v>
      </c>
      <c r="B2379" s="6" t="str">
        <f>"张婉鑫"</f>
        <v>张婉鑫</v>
      </c>
      <c r="C2379" s="6" t="str">
        <f t="shared" ref="C2379:C2391" si="110">"女"</f>
        <v>女</v>
      </c>
      <c r="D2379" s="6" t="str">
        <f>"202127013703"</f>
        <v>202127013703</v>
      </c>
      <c r="E2379" s="10" t="s">
        <v>27</v>
      </c>
      <c r="F2379" s="6" t="s">
        <v>9</v>
      </c>
      <c r="G2379" s="8">
        <v>57.4</v>
      </c>
      <c r="H2379" s="6"/>
    </row>
    <row r="2380" spans="1:8">
      <c r="A2380" s="5">
        <v>2377</v>
      </c>
      <c r="B2380" s="6" t="str">
        <f>"唐嘉玮"</f>
        <v>唐嘉玮</v>
      </c>
      <c r="C2380" s="6" t="str">
        <f t="shared" si="110"/>
        <v>女</v>
      </c>
      <c r="D2380" s="6" t="str">
        <f>"202127013704"</f>
        <v>202127013704</v>
      </c>
      <c r="E2380" s="10" t="s">
        <v>27</v>
      </c>
      <c r="F2380" s="6" t="s">
        <v>9</v>
      </c>
      <c r="G2380" s="8">
        <v>59.05</v>
      </c>
      <c r="H2380" s="6"/>
    </row>
    <row r="2381" spans="1:8">
      <c r="A2381" s="5">
        <v>1905</v>
      </c>
      <c r="B2381" s="6" t="str">
        <f>"蒋小兴"</f>
        <v>蒋小兴</v>
      </c>
      <c r="C2381" s="6" t="str">
        <f t="shared" si="110"/>
        <v>女</v>
      </c>
      <c r="D2381" s="6" t="str">
        <f>"202127013705"</f>
        <v>202127013705</v>
      </c>
      <c r="E2381" s="10" t="s">
        <v>27</v>
      </c>
      <c r="F2381" s="6" t="s">
        <v>9</v>
      </c>
      <c r="G2381" s="8">
        <v>66.349999999999994</v>
      </c>
      <c r="H2381" s="6"/>
    </row>
    <row r="2382" spans="1:8">
      <c r="A2382" s="5">
        <v>1881</v>
      </c>
      <c r="B2382" s="6" t="str">
        <f>"张颖瑜"</f>
        <v>张颖瑜</v>
      </c>
      <c r="C2382" s="6" t="str">
        <f t="shared" si="110"/>
        <v>女</v>
      </c>
      <c r="D2382" s="6" t="str">
        <f>"202127013706"</f>
        <v>202127013706</v>
      </c>
      <c r="E2382" s="10" t="s">
        <v>27</v>
      </c>
      <c r="F2382" s="6" t="s">
        <v>9</v>
      </c>
      <c r="G2382" s="8">
        <v>44.55</v>
      </c>
      <c r="H2382" s="6"/>
    </row>
    <row r="2383" spans="1:8">
      <c r="A2383" s="5">
        <v>2230</v>
      </c>
      <c r="B2383" s="6" t="str">
        <f>"罗仟慧"</f>
        <v>罗仟慧</v>
      </c>
      <c r="C2383" s="6" t="str">
        <f t="shared" si="110"/>
        <v>女</v>
      </c>
      <c r="D2383" s="6" t="str">
        <f>"202127013707"</f>
        <v>202127013707</v>
      </c>
      <c r="E2383" s="10" t="s">
        <v>27</v>
      </c>
      <c r="F2383" s="6" t="s">
        <v>9</v>
      </c>
      <c r="G2383" s="8">
        <v>65.599999999999994</v>
      </c>
      <c r="H2383" s="6"/>
    </row>
    <row r="2384" spans="1:8">
      <c r="A2384" s="5">
        <v>2132</v>
      </c>
      <c r="B2384" s="6" t="str">
        <f>"赵文瑶"</f>
        <v>赵文瑶</v>
      </c>
      <c r="C2384" s="6" t="str">
        <f t="shared" si="110"/>
        <v>女</v>
      </c>
      <c r="D2384" s="6" t="str">
        <f>"202127013708"</f>
        <v>202127013708</v>
      </c>
      <c r="E2384" s="10" t="s">
        <v>27</v>
      </c>
      <c r="F2384" s="6" t="s">
        <v>9</v>
      </c>
      <c r="G2384" s="8">
        <v>60</v>
      </c>
      <c r="H2384" s="6"/>
    </row>
    <row r="2385" spans="1:8">
      <c r="A2385" s="5">
        <v>2341</v>
      </c>
      <c r="B2385" s="6" t="str">
        <f>"杨洁婷"</f>
        <v>杨洁婷</v>
      </c>
      <c r="C2385" s="6" t="str">
        <f t="shared" si="110"/>
        <v>女</v>
      </c>
      <c r="D2385" s="6" t="str">
        <f>"202127013709"</f>
        <v>202127013709</v>
      </c>
      <c r="E2385" s="10" t="s">
        <v>27</v>
      </c>
      <c r="F2385" s="6" t="s">
        <v>9</v>
      </c>
      <c r="G2385" s="8">
        <v>50</v>
      </c>
      <c r="H2385" s="6"/>
    </row>
    <row r="2386" spans="1:8">
      <c r="A2386" s="5">
        <v>1798</v>
      </c>
      <c r="B2386" s="6" t="str">
        <f>"唐林兰"</f>
        <v>唐林兰</v>
      </c>
      <c r="C2386" s="6" t="str">
        <f t="shared" si="110"/>
        <v>女</v>
      </c>
      <c r="D2386" s="6" t="str">
        <f>"202127013710"</f>
        <v>202127013710</v>
      </c>
      <c r="E2386" s="10" t="s">
        <v>27</v>
      </c>
      <c r="F2386" s="6" t="s">
        <v>9</v>
      </c>
      <c r="G2386" s="8">
        <v>41.25</v>
      </c>
      <c r="H2386" s="6"/>
    </row>
    <row r="2387" spans="1:8">
      <c r="A2387" s="5">
        <v>1870</v>
      </c>
      <c r="B2387" s="6" t="str">
        <f>"陈美婷"</f>
        <v>陈美婷</v>
      </c>
      <c r="C2387" s="6" t="str">
        <f t="shared" si="110"/>
        <v>女</v>
      </c>
      <c r="D2387" s="6" t="str">
        <f>"202127013711"</f>
        <v>202127013711</v>
      </c>
      <c r="E2387" s="10" t="s">
        <v>27</v>
      </c>
      <c r="F2387" s="6" t="s">
        <v>9</v>
      </c>
      <c r="G2387" s="8">
        <v>63.55</v>
      </c>
      <c r="H2387" s="6"/>
    </row>
    <row r="2388" spans="1:8">
      <c r="A2388" s="5">
        <v>2337</v>
      </c>
      <c r="B2388" s="6" t="str">
        <f>"朱欢席"</f>
        <v>朱欢席</v>
      </c>
      <c r="C2388" s="6" t="str">
        <f t="shared" si="110"/>
        <v>女</v>
      </c>
      <c r="D2388" s="6" t="str">
        <f>"202127013712"</f>
        <v>202127013712</v>
      </c>
      <c r="E2388" s="10" t="s">
        <v>27</v>
      </c>
      <c r="F2388" s="6" t="s">
        <v>9</v>
      </c>
      <c r="G2388" s="8">
        <v>50</v>
      </c>
      <c r="H2388" s="6"/>
    </row>
    <row r="2389" spans="1:8">
      <c r="A2389" s="5">
        <v>1992</v>
      </c>
      <c r="B2389" s="6" t="str">
        <f>"刘思思"</f>
        <v>刘思思</v>
      </c>
      <c r="C2389" s="6" t="str">
        <f t="shared" si="110"/>
        <v>女</v>
      </c>
      <c r="D2389" s="6" t="str">
        <f>"202127013713"</f>
        <v>202127013713</v>
      </c>
      <c r="E2389" s="10" t="s">
        <v>27</v>
      </c>
      <c r="F2389" s="6" t="s">
        <v>9</v>
      </c>
      <c r="G2389" s="8">
        <v>67.099999999999994</v>
      </c>
      <c r="H2389" s="6"/>
    </row>
    <row r="2390" spans="1:8">
      <c r="A2390" s="5">
        <v>2053</v>
      </c>
      <c r="B2390" s="6" t="str">
        <f>"刘敏楠"</f>
        <v>刘敏楠</v>
      </c>
      <c r="C2390" s="6" t="str">
        <f t="shared" si="110"/>
        <v>女</v>
      </c>
      <c r="D2390" s="6" t="str">
        <f>"202127013714"</f>
        <v>202127013714</v>
      </c>
      <c r="E2390" s="10" t="s">
        <v>27</v>
      </c>
      <c r="F2390" s="6" t="s">
        <v>9</v>
      </c>
      <c r="G2390" s="8">
        <v>51.3</v>
      </c>
      <c r="H2390" s="6"/>
    </row>
    <row r="2391" spans="1:8">
      <c r="A2391" s="5">
        <v>1954</v>
      </c>
      <c r="B2391" s="6" t="str">
        <f>"吕婉"</f>
        <v>吕婉</v>
      </c>
      <c r="C2391" s="6" t="str">
        <f t="shared" si="110"/>
        <v>女</v>
      </c>
      <c r="D2391" s="6" t="str">
        <f>"202127013715"</f>
        <v>202127013715</v>
      </c>
      <c r="E2391" s="10" t="s">
        <v>27</v>
      </c>
      <c r="F2391" s="6" t="s">
        <v>9</v>
      </c>
      <c r="G2391" s="8">
        <v>55.8</v>
      </c>
      <c r="H2391" s="6"/>
    </row>
    <row r="2392" spans="1:8">
      <c r="A2392" s="5">
        <v>2287</v>
      </c>
      <c r="B2392" s="6" t="str">
        <f>"唐小波"</f>
        <v>唐小波</v>
      </c>
      <c r="C2392" s="6" t="str">
        <f>"男"</f>
        <v>男</v>
      </c>
      <c r="D2392" s="6" t="str">
        <f>"202127013716"</f>
        <v>202127013716</v>
      </c>
      <c r="E2392" s="10" t="s">
        <v>27</v>
      </c>
      <c r="F2392" s="6" t="s">
        <v>9</v>
      </c>
      <c r="G2392" s="8">
        <v>55</v>
      </c>
      <c r="H2392" s="6"/>
    </row>
    <row r="2393" spans="1:8">
      <c r="A2393" s="5">
        <v>1756</v>
      </c>
      <c r="B2393" s="6" t="str">
        <f>"黎慧竹"</f>
        <v>黎慧竹</v>
      </c>
      <c r="C2393" s="6" t="str">
        <f t="shared" ref="C2393:C2434" si="111">"女"</f>
        <v>女</v>
      </c>
      <c r="D2393" s="6" t="str">
        <f>"202127013717"</f>
        <v>202127013717</v>
      </c>
      <c r="E2393" s="10" t="s">
        <v>27</v>
      </c>
      <c r="F2393" s="6" t="s">
        <v>9</v>
      </c>
      <c r="G2393" s="8">
        <v>0</v>
      </c>
      <c r="H2393" s="9">
        <v>1</v>
      </c>
    </row>
    <row r="2394" spans="1:8">
      <c r="A2394" s="5">
        <v>2390</v>
      </c>
      <c r="B2394" s="6" t="str">
        <f>"易馨"</f>
        <v>易馨</v>
      </c>
      <c r="C2394" s="6" t="str">
        <f t="shared" si="111"/>
        <v>女</v>
      </c>
      <c r="D2394" s="6" t="str">
        <f>"202127013718"</f>
        <v>202127013718</v>
      </c>
      <c r="E2394" s="10" t="s">
        <v>27</v>
      </c>
      <c r="F2394" s="6" t="s">
        <v>9</v>
      </c>
      <c r="G2394" s="8">
        <v>57.5</v>
      </c>
      <c r="H2394" s="6"/>
    </row>
    <row r="2395" spans="1:8">
      <c r="A2395" s="5">
        <v>1975</v>
      </c>
      <c r="B2395" s="6" t="str">
        <f>"欧阳小琴"</f>
        <v>欧阳小琴</v>
      </c>
      <c r="C2395" s="6" t="str">
        <f t="shared" si="111"/>
        <v>女</v>
      </c>
      <c r="D2395" s="6" t="str">
        <f>"202127013719"</f>
        <v>202127013719</v>
      </c>
      <c r="E2395" s="10" t="s">
        <v>27</v>
      </c>
      <c r="F2395" s="6" t="s">
        <v>9</v>
      </c>
      <c r="G2395" s="8">
        <v>64.45</v>
      </c>
      <c r="H2395" s="6"/>
    </row>
    <row r="2396" spans="1:8">
      <c r="A2396" s="5">
        <v>1984</v>
      </c>
      <c r="B2396" s="6" t="str">
        <f>"杨雪雪 "</f>
        <v>杨雪雪</v>
      </c>
      <c r="C2396" s="6" t="str">
        <f t="shared" si="111"/>
        <v>女</v>
      </c>
      <c r="D2396" s="6" t="str">
        <f>"202127013720"</f>
        <v>202127013720</v>
      </c>
      <c r="E2396" s="10" t="s">
        <v>27</v>
      </c>
      <c r="F2396" s="6" t="s">
        <v>9</v>
      </c>
      <c r="G2396" s="8">
        <v>55.55</v>
      </c>
      <c r="H2396" s="6"/>
    </row>
    <row r="2397" spans="1:8">
      <c r="A2397" s="5">
        <v>2178</v>
      </c>
      <c r="B2397" s="6" t="str">
        <f>"张庆"</f>
        <v>张庆</v>
      </c>
      <c r="C2397" s="6" t="str">
        <f t="shared" si="111"/>
        <v>女</v>
      </c>
      <c r="D2397" s="6" t="str">
        <f>"202127013721"</f>
        <v>202127013721</v>
      </c>
      <c r="E2397" s="10" t="s">
        <v>27</v>
      </c>
      <c r="F2397" s="6" t="s">
        <v>9</v>
      </c>
      <c r="G2397" s="8">
        <v>52.85</v>
      </c>
      <c r="H2397" s="6"/>
    </row>
    <row r="2398" spans="1:8">
      <c r="A2398" s="5">
        <v>1952</v>
      </c>
      <c r="B2398" s="6" t="str">
        <f>"唐雅芳"</f>
        <v>唐雅芳</v>
      </c>
      <c r="C2398" s="6" t="str">
        <f t="shared" si="111"/>
        <v>女</v>
      </c>
      <c r="D2398" s="6" t="str">
        <f>"202127013722"</f>
        <v>202127013722</v>
      </c>
      <c r="E2398" s="10" t="s">
        <v>27</v>
      </c>
      <c r="F2398" s="6" t="s">
        <v>9</v>
      </c>
      <c r="G2398" s="8">
        <v>42.25</v>
      </c>
      <c r="H2398" s="6"/>
    </row>
    <row r="2399" spans="1:8">
      <c r="A2399" s="5">
        <v>2158</v>
      </c>
      <c r="B2399" s="6" t="str">
        <f>"罗舟"</f>
        <v>罗舟</v>
      </c>
      <c r="C2399" s="6" t="str">
        <f t="shared" si="111"/>
        <v>女</v>
      </c>
      <c r="D2399" s="6" t="str">
        <f>"202127013723"</f>
        <v>202127013723</v>
      </c>
      <c r="E2399" s="10" t="s">
        <v>27</v>
      </c>
      <c r="F2399" s="6" t="s">
        <v>9</v>
      </c>
      <c r="G2399" s="8">
        <v>56.85</v>
      </c>
      <c r="H2399" s="6"/>
    </row>
    <row r="2400" spans="1:8">
      <c r="A2400" s="5">
        <v>1766</v>
      </c>
      <c r="B2400" s="6" t="str">
        <f>"王华丽"</f>
        <v>王华丽</v>
      </c>
      <c r="C2400" s="6" t="str">
        <f t="shared" si="111"/>
        <v>女</v>
      </c>
      <c r="D2400" s="6" t="str">
        <f>"202127013724"</f>
        <v>202127013724</v>
      </c>
      <c r="E2400" s="10" t="s">
        <v>27</v>
      </c>
      <c r="F2400" s="6" t="s">
        <v>9</v>
      </c>
      <c r="G2400" s="8">
        <v>0</v>
      </c>
      <c r="H2400" s="9">
        <v>1</v>
      </c>
    </row>
    <row r="2401" spans="1:8">
      <c r="A2401" s="5">
        <v>2087</v>
      </c>
      <c r="B2401" s="6" t="str">
        <f>"蒋佳"</f>
        <v>蒋佳</v>
      </c>
      <c r="C2401" s="6" t="str">
        <f t="shared" si="111"/>
        <v>女</v>
      </c>
      <c r="D2401" s="6" t="str">
        <f>"202127013725"</f>
        <v>202127013725</v>
      </c>
      <c r="E2401" s="10" t="s">
        <v>27</v>
      </c>
      <c r="F2401" s="6" t="s">
        <v>9</v>
      </c>
      <c r="G2401" s="8">
        <v>0</v>
      </c>
      <c r="H2401" s="9">
        <v>1</v>
      </c>
    </row>
    <row r="2402" spans="1:8">
      <c r="A2402" s="5">
        <v>2034</v>
      </c>
      <c r="B2402" s="6" t="str">
        <f>"刘孟柳"</f>
        <v>刘孟柳</v>
      </c>
      <c r="C2402" s="6" t="str">
        <f t="shared" si="111"/>
        <v>女</v>
      </c>
      <c r="D2402" s="6" t="str">
        <f>"202127013726"</f>
        <v>202127013726</v>
      </c>
      <c r="E2402" s="10" t="s">
        <v>27</v>
      </c>
      <c r="F2402" s="6" t="s">
        <v>9</v>
      </c>
      <c r="G2402" s="8">
        <v>0</v>
      </c>
      <c r="H2402" s="9">
        <v>1</v>
      </c>
    </row>
    <row r="2403" spans="1:8">
      <c r="A2403" s="5">
        <v>2407</v>
      </c>
      <c r="B2403" s="6" t="str">
        <f>"彭清华"</f>
        <v>彭清华</v>
      </c>
      <c r="C2403" s="6" t="str">
        <f t="shared" si="111"/>
        <v>女</v>
      </c>
      <c r="D2403" s="6" t="str">
        <f>"202127013727"</f>
        <v>202127013727</v>
      </c>
      <c r="E2403" s="10" t="s">
        <v>27</v>
      </c>
      <c r="F2403" s="6" t="s">
        <v>9</v>
      </c>
      <c r="G2403" s="8">
        <v>64.95</v>
      </c>
      <c r="H2403" s="6"/>
    </row>
    <row r="2404" spans="1:8">
      <c r="A2404" s="5">
        <v>2359</v>
      </c>
      <c r="B2404" s="6" t="str">
        <f>"陈晓连"</f>
        <v>陈晓连</v>
      </c>
      <c r="C2404" s="6" t="str">
        <f t="shared" si="111"/>
        <v>女</v>
      </c>
      <c r="D2404" s="6" t="str">
        <f>"202127013728"</f>
        <v>202127013728</v>
      </c>
      <c r="E2404" s="10" t="s">
        <v>27</v>
      </c>
      <c r="F2404" s="6" t="s">
        <v>9</v>
      </c>
      <c r="G2404" s="8">
        <v>48.7</v>
      </c>
      <c r="H2404" s="6"/>
    </row>
    <row r="2405" spans="1:8">
      <c r="A2405" s="5">
        <v>2255</v>
      </c>
      <c r="B2405" s="6" t="str">
        <f>"朱珍珍"</f>
        <v>朱珍珍</v>
      </c>
      <c r="C2405" s="6" t="str">
        <f t="shared" si="111"/>
        <v>女</v>
      </c>
      <c r="D2405" s="6" t="str">
        <f>"202127013729"</f>
        <v>202127013729</v>
      </c>
      <c r="E2405" s="10" t="s">
        <v>27</v>
      </c>
      <c r="F2405" s="6" t="s">
        <v>9</v>
      </c>
      <c r="G2405" s="8">
        <v>63.95</v>
      </c>
      <c r="H2405" s="6"/>
    </row>
    <row r="2406" spans="1:8">
      <c r="A2406" s="5">
        <v>2244</v>
      </c>
      <c r="B2406" s="6" t="str">
        <f>"谢雨萱"</f>
        <v>谢雨萱</v>
      </c>
      <c r="C2406" s="6" t="str">
        <f t="shared" si="111"/>
        <v>女</v>
      </c>
      <c r="D2406" s="6" t="str">
        <f>"202127013730"</f>
        <v>202127013730</v>
      </c>
      <c r="E2406" s="10" t="s">
        <v>27</v>
      </c>
      <c r="F2406" s="6" t="s">
        <v>9</v>
      </c>
      <c r="G2406" s="8">
        <v>60.6</v>
      </c>
      <c r="H2406" s="6"/>
    </row>
    <row r="2407" spans="1:8">
      <c r="A2407" s="5">
        <v>2261</v>
      </c>
      <c r="B2407" s="6" t="str">
        <f>"张亮"</f>
        <v>张亮</v>
      </c>
      <c r="C2407" s="6" t="str">
        <f t="shared" si="111"/>
        <v>女</v>
      </c>
      <c r="D2407" s="6" t="str">
        <f>"202127013801"</f>
        <v>202127013801</v>
      </c>
      <c r="E2407" s="10" t="s">
        <v>27</v>
      </c>
      <c r="F2407" s="6" t="s">
        <v>9</v>
      </c>
      <c r="G2407" s="8">
        <v>63.7</v>
      </c>
      <c r="H2407" s="6"/>
    </row>
    <row r="2408" spans="1:8">
      <c r="A2408" s="5">
        <v>1993</v>
      </c>
      <c r="B2408" s="6" t="str">
        <f>"陈瑶"</f>
        <v>陈瑶</v>
      </c>
      <c r="C2408" s="6" t="str">
        <f t="shared" si="111"/>
        <v>女</v>
      </c>
      <c r="D2408" s="6" t="str">
        <f>"202127013802"</f>
        <v>202127013802</v>
      </c>
      <c r="E2408" s="10" t="s">
        <v>27</v>
      </c>
      <c r="F2408" s="6" t="s">
        <v>9</v>
      </c>
      <c r="G2408" s="8">
        <v>48.05</v>
      </c>
      <c r="H2408" s="6"/>
    </row>
    <row r="2409" spans="1:8">
      <c r="A2409" s="5">
        <v>2253</v>
      </c>
      <c r="B2409" s="6" t="str">
        <f>"刘琦於"</f>
        <v>刘琦於</v>
      </c>
      <c r="C2409" s="6" t="str">
        <f t="shared" si="111"/>
        <v>女</v>
      </c>
      <c r="D2409" s="6" t="str">
        <f>"202127013803"</f>
        <v>202127013803</v>
      </c>
      <c r="E2409" s="10" t="s">
        <v>27</v>
      </c>
      <c r="F2409" s="6" t="s">
        <v>9</v>
      </c>
      <c r="G2409" s="8">
        <v>57.8</v>
      </c>
      <c r="H2409" s="6"/>
    </row>
    <row r="2410" spans="1:8">
      <c r="A2410" s="5">
        <v>2221</v>
      </c>
      <c r="B2410" s="6" t="str">
        <f>"石登"</f>
        <v>石登</v>
      </c>
      <c r="C2410" s="6" t="str">
        <f t="shared" si="111"/>
        <v>女</v>
      </c>
      <c r="D2410" s="6" t="str">
        <f>"202127013804"</f>
        <v>202127013804</v>
      </c>
      <c r="E2410" s="10" t="s">
        <v>27</v>
      </c>
      <c r="F2410" s="6" t="s">
        <v>9</v>
      </c>
      <c r="G2410" s="8">
        <v>69.150000000000006</v>
      </c>
      <c r="H2410" s="6"/>
    </row>
    <row r="2411" spans="1:8">
      <c r="A2411" s="5">
        <v>2211</v>
      </c>
      <c r="B2411" s="6" t="str">
        <f>"龚磊琴"</f>
        <v>龚磊琴</v>
      </c>
      <c r="C2411" s="6" t="str">
        <f t="shared" si="111"/>
        <v>女</v>
      </c>
      <c r="D2411" s="6" t="str">
        <f>"202127013805"</f>
        <v>202127013805</v>
      </c>
      <c r="E2411" s="10" t="s">
        <v>27</v>
      </c>
      <c r="F2411" s="6" t="s">
        <v>9</v>
      </c>
      <c r="G2411" s="8">
        <v>52.2</v>
      </c>
      <c r="H2411" s="6"/>
    </row>
    <row r="2412" spans="1:8">
      <c r="A2412" s="5">
        <v>2043</v>
      </c>
      <c r="B2412" s="6" t="str">
        <f>" 刘慧"</f>
        <v>刘慧</v>
      </c>
      <c r="C2412" s="6" t="str">
        <f t="shared" si="111"/>
        <v>女</v>
      </c>
      <c r="D2412" s="6" t="str">
        <f>"202127013806"</f>
        <v>202127013806</v>
      </c>
      <c r="E2412" s="10" t="s">
        <v>27</v>
      </c>
      <c r="F2412" s="6" t="s">
        <v>9</v>
      </c>
      <c r="G2412" s="8">
        <v>55.55</v>
      </c>
      <c r="H2412" s="6"/>
    </row>
    <row r="2413" spans="1:8">
      <c r="A2413" s="5">
        <v>1755</v>
      </c>
      <c r="B2413" s="6" t="str">
        <f>"颜思娣"</f>
        <v>颜思娣</v>
      </c>
      <c r="C2413" s="6" t="str">
        <f t="shared" si="111"/>
        <v>女</v>
      </c>
      <c r="D2413" s="6" t="str">
        <f>"202127013807"</f>
        <v>202127013807</v>
      </c>
      <c r="E2413" s="10" t="s">
        <v>27</v>
      </c>
      <c r="F2413" s="6" t="s">
        <v>9</v>
      </c>
      <c r="G2413" s="8">
        <v>63.4</v>
      </c>
      <c r="H2413" s="6"/>
    </row>
    <row r="2414" spans="1:8">
      <c r="A2414" s="5">
        <v>2149</v>
      </c>
      <c r="B2414" s="6" t="str">
        <f>"宋林霞"</f>
        <v>宋林霞</v>
      </c>
      <c r="C2414" s="6" t="str">
        <f t="shared" si="111"/>
        <v>女</v>
      </c>
      <c r="D2414" s="6" t="str">
        <f>"202127013808"</f>
        <v>202127013808</v>
      </c>
      <c r="E2414" s="10" t="s">
        <v>27</v>
      </c>
      <c r="F2414" s="6" t="s">
        <v>9</v>
      </c>
      <c r="G2414" s="8">
        <v>58.9</v>
      </c>
      <c r="H2414" s="6"/>
    </row>
    <row r="2415" spans="1:8">
      <c r="A2415" s="5">
        <v>2139</v>
      </c>
      <c r="B2415" s="6" t="str">
        <f>"毛彬梅"</f>
        <v>毛彬梅</v>
      </c>
      <c r="C2415" s="6" t="str">
        <f t="shared" si="111"/>
        <v>女</v>
      </c>
      <c r="D2415" s="6" t="str">
        <f>"202127013809"</f>
        <v>202127013809</v>
      </c>
      <c r="E2415" s="10" t="s">
        <v>27</v>
      </c>
      <c r="F2415" s="6" t="s">
        <v>9</v>
      </c>
      <c r="G2415" s="8">
        <v>55.5</v>
      </c>
      <c r="H2415" s="6"/>
    </row>
    <row r="2416" spans="1:8">
      <c r="A2416" s="5">
        <v>2356</v>
      </c>
      <c r="B2416" s="6" t="str">
        <f>"罗倩"</f>
        <v>罗倩</v>
      </c>
      <c r="C2416" s="6" t="str">
        <f t="shared" si="111"/>
        <v>女</v>
      </c>
      <c r="D2416" s="6" t="str">
        <f>"202127013810"</f>
        <v>202127013810</v>
      </c>
      <c r="E2416" s="10" t="s">
        <v>27</v>
      </c>
      <c r="F2416" s="6" t="s">
        <v>9</v>
      </c>
      <c r="G2416" s="8">
        <v>68</v>
      </c>
      <c r="H2416" s="6"/>
    </row>
    <row r="2417" spans="1:8">
      <c r="A2417" s="5">
        <v>1774</v>
      </c>
      <c r="B2417" s="6" t="str">
        <f>"谭凤"</f>
        <v>谭凤</v>
      </c>
      <c r="C2417" s="6" t="str">
        <f t="shared" si="111"/>
        <v>女</v>
      </c>
      <c r="D2417" s="6" t="str">
        <f>"202127013811"</f>
        <v>202127013811</v>
      </c>
      <c r="E2417" s="10" t="s">
        <v>27</v>
      </c>
      <c r="F2417" s="6" t="s">
        <v>9</v>
      </c>
      <c r="G2417" s="8">
        <v>49.95</v>
      </c>
      <c r="H2417" s="6"/>
    </row>
    <row r="2418" spans="1:8">
      <c r="A2418" s="5">
        <v>2200</v>
      </c>
      <c r="B2418" s="6" t="str">
        <f>"蒋艳"</f>
        <v>蒋艳</v>
      </c>
      <c r="C2418" s="6" t="str">
        <f t="shared" si="111"/>
        <v>女</v>
      </c>
      <c r="D2418" s="6" t="str">
        <f>"202127013812"</f>
        <v>202127013812</v>
      </c>
      <c r="E2418" s="10" t="s">
        <v>27</v>
      </c>
      <c r="F2418" s="6" t="s">
        <v>9</v>
      </c>
      <c r="G2418" s="8">
        <v>52.7</v>
      </c>
      <c r="H2418" s="6"/>
    </row>
    <row r="2419" spans="1:8">
      <c r="A2419" s="5">
        <v>2045</v>
      </c>
      <c r="B2419" s="6" t="str">
        <f>"李文婷"</f>
        <v>李文婷</v>
      </c>
      <c r="C2419" s="6" t="str">
        <f t="shared" si="111"/>
        <v>女</v>
      </c>
      <c r="D2419" s="6" t="str">
        <f>"202127013813"</f>
        <v>202127013813</v>
      </c>
      <c r="E2419" s="10" t="s">
        <v>27</v>
      </c>
      <c r="F2419" s="6" t="s">
        <v>9</v>
      </c>
      <c r="G2419" s="8">
        <v>49.95</v>
      </c>
      <c r="H2419" s="6"/>
    </row>
    <row r="2420" spans="1:8">
      <c r="A2420" s="5">
        <v>1978</v>
      </c>
      <c r="B2420" s="6" t="str">
        <f>"贺青艳"</f>
        <v>贺青艳</v>
      </c>
      <c r="C2420" s="6" t="str">
        <f t="shared" si="111"/>
        <v>女</v>
      </c>
      <c r="D2420" s="6" t="str">
        <f>"202127013814"</f>
        <v>202127013814</v>
      </c>
      <c r="E2420" s="10" t="s">
        <v>27</v>
      </c>
      <c r="F2420" s="6" t="s">
        <v>9</v>
      </c>
      <c r="G2420" s="8">
        <v>50</v>
      </c>
      <c r="H2420" s="6"/>
    </row>
    <row r="2421" spans="1:8">
      <c r="A2421" s="5">
        <v>2084</v>
      </c>
      <c r="B2421" s="6" t="str">
        <f>"聂娟"</f>
        <v>聂娟</v>
      </c>
      <c r="C2421" s="6" t="str">
        <f t="shared" si="111"/>
        <v>女</v>
      </c>
      <c r="D2421" s="6" t="str">
        <f>"202127013815"</f>
        <v>202127013815</v>
      </c>
      <c r="E2421" s="10" t="s">
        <v>27</v>
      </c>
      <c r="F2421" s="6" t="s">
        <v>9</v>
      </c>
      <c r="G2421" s="8">
        <v>59.75</v>
      </c>
      <c r="H2421" s="6"/>
    </row>
    <row r="2422" spans="1:8">
      <c r="A2422" s="5">
        <v>2227</v>
      </c>
      <c r="B2422" s="6" t="str">
        <f>"罗津津"</f>
        <v>罗津津</v>
      </c>
      <c r="C2422" s="6" t="str">
        <f t="shared" si="111"/>
        <v>女</v>
      </c>
      <c r="D2422" s="6" t="str">
        <f>"202127013816"</f>
        <v>202127013816</v>
      </c>
      <c r="E2422" s="10" t="s">
        <v>27</v>
      </c>
      <c r="F2422" s="6" t="s">
        <v>9</v>
      </c>
      <c r="G2422" s="8">
        <v>48.35</v>
      </c>
      <c r="H2422" s="6"/>
    </row>
    <row r="2423" spans="1:8">
      <c r="A2423" s="5">
        <v>2412</v>
      </c>
      <c r="B2423" s="6" t="str">
        <f>"吴壬娥"</f>
        <v>吴壬娥</v>
      </c>
      <c r="C2423" s="6" t="str">
        <f t="shared" si="111"/>
        <v>女</v>
      </c>
      <c r="D2423" s="6" t="str">
        <f>"202127013817"</f>
        <v>202127013817</v>
      </c>
      <c r="E2423" s="10" t="s">
        <v>27</v>
      </c>
      <c r="F2423" s="6" t="s">
        <v>9</v>
      </c>
      <c r="G2423" s="8">
        <v>60.5</v>
      </c>
      <c r="H2423" s="6"/>
    </row>
    <row r="2424" spans="1:8">
      <c r="A2424" s="5">
        <v>1922</v>
      </c>
      <c r="B2424" s="6" t="str">
        <f>"黄敏"</f>
        <v>黄敏</v>
      </c>
      <c r="C2424" s="6" t="str">
        <f t="shared" si="111"/>
        <v>女</v>
      </c>
      <c r="D2424" s="6" t="str">
        <f>"202127013818"</f>
        <v>202127013818</v>
      </c>
      <c r="E2424" s="10" t="s">
        <v>27</v>
      </c>
      <c r="F2424" s="6" t="s">
        <v>9</v>
      </c>
      <c r="G2424" s="8">
        <v>71.5</v>
      </c>
      <c r="H2424" s="6"/>
    </row>
    <row r="2425" spans="1:8">
      <c r="A2425" s="5">
        <v>2406</v>
      </c>
      <c r="B2425" s="6" t="str">
        <f>"袁妙婷"</f>
        <v>袁妙婷</v>
      </c>
      <c r="C2425" s="6" t="str">
        <f t="shared" si="111"/>
        <v>女</v>
      </c>
      <c r="D2425" s="6" t="str">
        <f>"202127013819"</f>
        <v>202127013819</v>
      </c>
      <c r="E2425" s="10" t="s">
        <v>27</v>
      </c>
      <c r="F2425" s="6" t="s">
        <v>9</v>
      </c>
      <c r="G2425" s="8">
        <v>63.35</v>
      </c>
      <c r="H2425" s="6"/>
    </row>
    <row r="2426" spans="1:8">
      <c r="A2426" s="5">
        <v>2058</v>
      </c>
      <c r="B2426" s="6" t="str">
        <f>"蒋琼"</f>
        <v>蒋琼</v>
      </c>
      <c r="C2426" s="6" t="str">
        <f t="shared" si="111"/>
        <v>女</v>
      </c>
      <c r="D2426" s="6" t="str">
        <f>"202127013820"</f>
        <v>202127013820</v>
      </c>
      <c r="E2426" s="10" t="s">
        <v>27</v>
      </c>
      <c r="F2426" s="6" t="s">
        <v>9</v>
      </c>
      <c r="G2426" s="8">
        <v>52.5</v>
      </c>
      <c r="H2426" s="6"/>
    </row>
    <row r="2427" spans="1:8">
      <c r="A2427" s="5">
        <v>2129</v>
      </c>
      <c r="B2427" s="6" t="str">
        <f>"沈蓉"</f>
        <v>沈蓉</v>
      </c>
      <c r="C2427" s="6" t="str">
        <f t="shared" si="111"/>
        <v>女</v>
      </c>
      <c r="D2427" s="6" t="str">
        <f>"202127013821"</f>
        <v>202127013821</v>
      </c>
      <c r="E2427" s="10" t="s">
        <v>27</v>
      </c>
      <c r="F2427" s="6" t="s">
        <v>9</v>
      </c>
      <c r="G2427" s="8">
        <v>58.1</v>
      </c>
      <c r="H2427" s="6"/>
    </row>
    <row r="2428" spans="1:8">
      <c r="A2428" s="5">
        <v>2395</v>
      </c>
      <c r="B2428" s="6" t="str">
        <f>"王晶晶"</f>
        <v>王晶晶</v>
      </c>
      <c r="C2428" s="6" t="str">
        <f t="shared" si="111"/>
        <v>女</v>
      </c>
      <c r="D2428" s="6" t="str">
        <f>"202127013822"</f>
        <v>202127013822</v>
      </c>
      <c r="E2428" s="10" t="s">
        <v>27</v>
      </c>
      <c r="F2428" s="6" t="s">
        <v>9</v>
      </c>
      <c r="G2428" s="8">
        <v>34.9</v>
      </c>
      <c r="H2428" s="6"/>
    </row>
    <row r="2429" spans="1:8">
      <c r="A2429" s="5">
        <v>2052</v>
      </c>
      <c r="B2429" s="6" t="str">
        <f>"刘慧婷"</f>
        <v>刘慧婷</v>
      </c>
      <c r="C2429" s="6" t="str">
        <f t="shared" si="111"/>
        <v>女</v>
      </c>
      <c r="D2429" s="6" t="str">
        <f>"202127013823"</f>
        <v>202127013823</v>
      </c>
      <c r="E2429" s="10" t="s">
        <v>27</v>
      </c>
      <c r="F2429" s="6" t="s">
        <v>9</v>
      </c>
      <c r="G2429" s="8">
        <v>55.6</v>
      </c>
      <c r="H2429" s="6"/>
    </row>
    <row r="2430" spans="1:8">
      <c r="A2430" s="5">
        <v>2373</v>
      </c>
      <c r="B2430" s="6" t="str">
        <f>"郭爱亮"</f>
        <v>郭爱亮</v>
      </c>
      <c r="C2430" s="6" t="str">
        <f t="shared" si="111"/>
        <v>女</v>
      </c>
      <c r="D2430" s="6" t="str">
        <f>"202127013824"</f>
        <v>202127013824</v>
      </c>
      <c r="E2430" s="10" t="s">
        <v>27</v>
      </c>
      <c r="F2430" s="6" t="s">
        <v>9</v>
      </c>
      <c r="G2430" s="8">
        <v>59.15</v>
      </c>
      <c r="H2430" s="6"/>
    </row>
    <row r="2431" spans="1:8">
      <c r="A2431" s="5">
        <v>1918</v>
      </c>
      <c r="B2431" s="6" t="str">
        <f>"唐雪"</f>
        <v>唐雪</v>
      </c>
      <c r="C2431" s="6" t="str">
        <f t="shared" si="111"/>
        <v>女</v>
      </c>
      <c r="D2431" s="6" t="str">
        <f>"202127013825"</f>
        <v>202127013825</v>
      </c>
      <c r="E2431" s="10" t="s">
        <v>27</v>
      </c>
      <c r="F2431" s="6" t="s">
        <v>9</v>
      </c>
      <c r="G2431" s="8">
        <v>57.45</v>
      </c>
      <c r="H2431" s="6"/>
    </row>
    <row r="2432" spans="1:8">
      <c r="A2432" s="5">
        <v>1830</v>
      </c>
      <c r="B2432" s="6" t="str">
        <f>"赵湲"</f>
        <v>赵湲</v>
      </c>
      <c r="C2432" s="6" t="str">
        <f t="shared" si="111"/>
        <v>女</v>
      </c>
      <c r="D2432" s="6" t="str">
        <f>"202127013826"</f>
        <v>202127013826</v>
      </c>
      <c r="E2432" s="10" t="s">
        <v>27</v>
      </c>
      <c r="F2432" s="6" t="s">
        <v>9</v>
      </c>
      <c r="G2432" s="8">
        <v>0</v>
      </c>
      <c r="H2432" s="9">
        <v>1</v>
      </c>
    </row>
    <row r="2433" spans="1:8">
      <c r="A2433" s="5">
        <v>2307</v>
      </c>
      <c r="B2433" s="6" t="str">
        <f>"肖淑华"</f>
        <v>肖淑华</v>
      </c>
      <c r="C2433" s="6" t="str">
        <f t="shared" si="111"/>
        <v>女</v>
      </c>
      <c r="D2433" s="6" t="str">
        <f>"202127013827"</f>
        <v>202127013827</v>
      </c>
      <c r="E2433" s="10" t="s">
        <v>27</v>
      </c>
      <c r="F2433" s="6" t="s">
        <v>9</v>
      </c>
      <c r="G2433" s="8">
        <v>49.6</v>
      </c>
      <c r="H2433" s="6"/>
    </row>
    <row r="2434" spans="1:8">
      <c r="A2434" s="5">
        <v>1855</v>
      </c>
      <c r="B2434" s="6" t="str">
        <f>"彭雄"</f>
        <v>彭雄</v>
      </c>
      <c r="C2434" s="6" t="str">
        <f t="shared" si="111"/>
        <v>女</v>
      </c>
      <c r="D2434" s="6" t="str">
        <f>"202127013828"</f>
        <v>202127013828</v>
      </c>
      <c r="E2434" s="10" t="s">
        <v>27</v>
      </c>
      <c r="F2434" s="6" t="s">
        <v>9</v>
      </c>
      <c r="G2434" s="8">
        <v>61.85</v>
      </c>
      <c r="H2434" s="6"/>
    </row>
    <row r="2435" spans="1:8">
      <c r="A2435" s="5">
        <v>2291</v>
      </c>
      <c r="B2435" s="6" t="str">
        <f>"刘翱"</f>
        <v>刘翱</v>
      </c>
      <c r="C2435" s="6" t="str">
        <f>"男"</f>
        <v>男</v>
      </c>
      <c r="D2435" s="6" t="str">
        <f>"202127013829"</f>
        <v>202127013829</v>
      </c>
      <c r="E2435" s="10" t="s">
        <v>27</v>
      </c>
      <c r="F2435" s="6" t="s">
        <v>9</v>
      </c>
      <c r="G2435" s="8">
        <v>45.8</v>
      </c>
      <c r="H2435" s="6"/>
    </row>
    <row r="2436" spans="1:8">
      <c r="A2436" s="5">
        <v>1914</v>
      </c>
      <c r="B2436" s="6" t="str">
        <f>"罗翔"</f>
        <v>罗翔</v>
      </c>
      <c r="C2436" s="6" t="str">
        <f t="shared" ref="C2436:C2441" si="112">"女"</f>
        <v>女</v>
      </c>
      <c r="D2436" s="6" t="str">
        <f>"202127013830"</f>
        <v>202127013830</v>
      </c>
      <c r="E2436" s="10" t="s">
        <v>27</v>
      </c>
      <c r="F2436" s="6" t="s">
        <v>9</v>
      </c>
      <c r="G2436" s="8">
        <v>54.25</v>
      </c>
      <c r="H2436" s="6"/>
    </row>
    <row r="2437" spans="1:8">
      <c r="A2437" s="5">
        <v>2020</v>
      </c>
      <c r="B2437" s="6" t="str">
        <f>"李小玲"</f>
        <v>李小玲</v>
      </c>
      <c r="C2437" s="6" t="str">
        <f t="shared" si="112"/>
        <v>女</v>
      </c>
      <c r="D2437" s="6" t="str">
        <f>"202127013901"</f>
        <v>202127013901</v>
      </c>
      <c r="E2437" s="10" t="s">
        <v>27</v>
      </c>
      <c r="F2437" s="6" t="s">
        <v>9</v>
      </c>
      <c r="G2437" s="8">
        <v>56.85</v>
      </c>
      <c r="H2437" s="6"/>
    </row>
    <row r="2438" spans="1:8">
      <c r="A2438" s="5">
        <v>1858</v>
      </c>
      <c r="B2438" s="6" t="str">
        <f>"朱海姣"</f>
        <v>朱海姣</v>
      </c>
      <c r="C2438" s="6" t="str">
        <f t="shared" si="112"/>
        <v>女</v>
      </c>
      <c r="D2438" s="6" t="str">
        <f>"202127013902"</f>
        <v>202127013902</v>
      </c>
      <c r="E2438" s="10" t="s">
        <v>27</v>
      </c>
      <c r="F2438" s="6" t="s">
        <v>9</v>
      </c>
      <c r="G2438" s="8">
        <v>53.6</v>
      </c>
      <c r="H2438" s="6"/>
    </row>
    <row r="2439" spans="1:8">
      <c r="A2439" s="5">
        <v>2303</v>
      </c>
      <c r="B2439" s="6" t="str">
        <f>"肖舟茜"</f>
        <v>肖舟茜</v>
      </c>
      <c r="C2439" s="6" t="str">
        <f t="shared" si="112"/>
        <v>女</v>
      </c>
      <c r="D2439" s="6" t="str">
        <f>"202127013903"</f>
        <v>202127013903</v>
      </c>
      <c r="E2439" s="10" t="s">
        <v>27</v>
      </c>
      <c r="F2439" s="6" t="s">
        <v>9</v>
      </c>
      <c r="G2439" s="8">
        <v>59.7</v>
      </c>
      <c r="H2439" s="6"/>
    </row>
    <row r="2440" spans="1:8">
      <c r="A2440" s="5">
        <v>2108</v>
      </c>
      <c r="B2440" s="6" t="str">
        <f>"谭凤姣"</f>
        <v>谭凤姣</v>
      </c>
      <c r="C2440" s="6" t="str">
        <f t="shared" si="112"/>
        <v>女</v>
      </c>
      <c r="D2440" s="6" t="str">
        <f>"202127013904"</f>
        <v>202127013904</v>
      </c>
      <c r="E2440" s="10" t="s">
        <v>27</v>
      </c>
      <c r="F2440" s="6" t="s">
        <v>9</v>
      </c>
      <c r="G2440" s="8">
        <v>63.9</v>
      </c>
      <c r="H2440" s="6"/>
    </row>
    <row r="2441" spans="1:8">
      <c r="A2441" s="5">
        <v>2444</v>
      </c>
      <c r="B2441" s="6" t="str">
        <f>"杨婷"</f>
        <v>杨婷</v>
      </c>
      <c r="C2441" s="6" t="str">
        <f t="shared" si="112"/>
        <v>女</v>
      </c>
      <c r="D2441" s="6" t="str">
        <f>"202127013905"</f>
        <v>202127013905</v>
      </c>
      <c r="E2441" s="10" t="s">
        <v>27</v>
      </c>
      <c r="F2441" s="6" t="s">
        <v>9</v>
      </c>
      <c r="G2441" s="8">
        <v>43.4</v>
      </c>
      <c r="H2441" s="6"/>
    </row>
    <row r="2442" spans="1:8">
      <c r="A2442" s="5">
        <v>1791</v>
      </c>
      <c r="B2442" s="6" t="str">
        <f>"李威龙"</f>
        <v>李威龙</v>
      </c>
      <c r="C2442" s="6" t="str">
        <f>"男"</f>
        <v>男</v>
      </c>
      <c r="D2442" s="6" t="str">
        <f>"202127013906"</f>
        <v>202127013906</v>
      </c>
      <c r="E2442" s="10" t="s">
        <v>27</v>
      </c>
      <c r="F2442" s="6" t="s">
        <v>9</v>
      </c>
      <c r="G2442" s="8">
        <v>0</v>
      </c>
      <c r="H2442" s="9">
        <v>1</v>
      </c>
    </row>
    <row r="2443" spans="1:8">
      <c r="A2443" s="5">
        <v>2124</v>
      </c>
      <c r="B2443" s="6" t="str">
        <f>"郭佳阳"</f>
        <v>郭佳阳</v>
      </c>
      <c r="C2443" s="6" t="str">
        <f t="shared" ref="C2443:C2467" si="113">"女"</f>
        <v>女</v>
      </c>
      <c r="D2443" s="6" t="str">
        <f>"202127013907"</f>
        <v>202127013907</v>
      </c>
      <c r="E2443" s="10" t="s">
        <v>27</v>
      </c>
      <c r="F2443" s="6" t="s">
        <v>9</v>
      </c>
      <c r="G2443" s="8">
        <v>53.4</v>
      </c>
      <c r="H2443" s="6"/>
    </row>
    <row r="2444" spans="1:8">
      <c r="A2444" s="5">
        <v>1983</v>
      </c>
      <c r="B2444" s="6" t="str">
        <f>"陈俊"</f>
        <v>陈俊</v>
      </c>
      <c r="C2444" s="6" t="str">
        <f t="shared" si="113"/>
        <v>女</v>
      </c>
      <c r="D2444" s="6" t="str">
        <f>"202127013908"</f>
        <v>202127013908</v>
      </c>
      <c r="E2444" s="10" t="s">
        <v>27</v>
      </c>
      <c r="F2444" s="6" t="s">
        <v>9</v>
      </c>
      <c r="G2444" s="8">
        <v>67.5</v>
      </c>
      <c r="H2444" s="6"/>
    </row>
    <row r="2445" spans="1:8">
      <c r="A2445" s="5">
        <v>2436</v>
      </c>
      <c r="B2445" s="6" t="str">
        <f>"伍赛花"</f>
        <v>伍赛花</v>
      </c>
      <c r="C2445" s="6" t="str">
        <f t="shared" si="113"/>
        <v>女</v>
      </c>
      <c r="D2445" s="6" t="str">
        <f>"202127013909"</f>
        <v>202127013909</v>
      </c>
      <c r="E2445" s="10" t="s">
        <v>27</v>
      </c>
      <c r="F2445" s="6" t="s">
        <v>9</v>
      </c>
      <c r="G2445" s="8">
        <v>56.1</v>
      </c>
      <c r="H2445" s="6"/>
    </row>
    <row r="2446" spans="1:8">
      <c r="A2446" s="5">
        <v>1809</v>
      </c>
      <c r="B2446" s="6" t="str">
        <f>"左荣子"</f>
        <v>左荣子</v>
      </c>
      <c r="C2446" s="6" t="str">
        <f t="shared" si="113"/>
        <v>女</v>
      </c>
      <c r="D2446" s="6" t="str">
        <f>"202127013910"</f>
        <v>202127013910</v>
      </c>
      <c r="E2446" s="10" t="s">
        <v>27</v>
      </c>
      <c r="F2446" s="6" t="s">
        <v>9</v>
      </c>
      <c r="G2446" s="8">
        <v>61.35</v>
      </c>
      <c r="H2446" s="6"/>
    </row>
    <row r="2447" spans="1:8">
      <c r="A2447" s="5">
        <v>2277</v>
      </c>
      <c r="B2447" s="6" t="str">
        <f>"廖海雄"</f>
        <v>廖海雄</v>
      </c>
      <c r="C2447" s="6" t="str">
        <f t="shared" si="113"/>
        <v>女</v>
      </c>
      <c r="D2447" s="6" t="str">
        <f>"202127013911"</f>
        <v>202127013911</v>
      </c>
      <c r="E2447" s="10" t="s">
        <v>27</v>
      </c>
      <c r="F2447" s="6" t="s">
        <v>9</v>
      </c>
      <c r="G2447" s="8">
        <v>54.85</v>
      </c>
      <c r="H2447" s="6"/>
    </row>
    <row r="2448" spans="1:8">
      <c r="A2448" s="5">
        <v>2055</v>
      </c>
      <c r="B2448" s="6" t="str">
        <f>"卢琴"</f>
        <v>卢琴</v>
      </c>
      <c r="C2448" s="6" t="str">
        <f t="shared" si="113"/>
        <v>女</v>
      </c>
      <c r="D2448" s="6" t="str">
        <f>"202127013912"</f>
        <v>202127013912</v>
      </c>
      <c r="E2448" s="10" t="s">
        <v>27</v>
      </c>
      <c r="F2448" s="6" t="s">
        <v>9</v>
      </c>
      <c r="G2448" s="8">
        <v>58.4</v>
      </c>
      <c r="H2448" s="6"/>
    </row>
    <row r="2449" spans="1:8">
      <c r="A2449" s="5">
        <v>2031</v>
      </c>
      <c r="B2449" s="6" t="str">
        <f>"邓瑶"</f>
        <v>邓瑶</v>
      </c>
      <c r="C2449" s="6" t="str">
        <f t="shared" si="113"/>
        <v>女</v>
      </c>
      <c r="D2449" s="6" t="str">
        <f>"202127013913"</f>
        <v>202127013913</v>
      </c>
      <c r="E2449" s="10" t="s">
        <v>27</v>
      </c>
      <c r="F2449" s="6" t="s">
        <v>9</v>
      </c>
      <c r="G2449" s="8">
        <v>64.349999999999994</v>
      </c>
      <c r="H2449" s="6"/>
    </row>
    <row r="2450" spans="1:8">
      <c r="A2450" s="5">
        <v>1857</v>
      </c>
      <c r="B2450" s="6" t="str">
        <f>"张芳艳"</f>
        <v>张芳艳</v>
      </c>
      <c r="C2450" s="6" t="str">
        <f t="shared" si="113"/>
        <v>女</v>
      </c>
      <c r="D2450" s="6" t="str">
        <f>"202127013914"</f>
        <v>202127013914</v>
      </c>
      <c r="E2450" s="10" t="s">
        <v>27</v>
      </c>
      <c r="F2450" s="6" t="s">
        <v>9</v>
      </c>
      <c r="G2450" s="8">
        <v>40.299999999999997</v>
      </c>
      <c r="H2450" s="6"/>
    </row>
    <row r="2451" spans="1:8">
      <c r="A2451" s="5">
        <v>2301</v>
      </c>
      <c r="B2451" s="6" t="str">
        <f>"莫杰宁"</f>
        <v>莫杰宁</v>
      </c>
      <c r="C2451" s="6" t="str">
        <f t="shared" si="113"/>
        <v>女</v>
      </c>
      <c r="D2451" s="6" t="str">
        <f>"202127013915"</f>
        <v>202127013915</v>
      </c>
      <c r="E2451" s="10" t="s">
        <v>27</v>
      </c>
      <c r="F2451" s="6" t="s">
        <v>9</v>
      </c>
      <c r="G2451" s="8">
        <v>62.2</v>
      </c>
      <c r="H2451" s="6"/>
    </row>
    <row r="2452" spans="1:8">
      <c r="A2452" s="5">
        <v>2222</v>
      </c>
      <c r="B2452" s="6" t="str">
        <f>"彭荣"</f>
        <v>彭荣</v>
      </c>
      <c r="C2452" s="6" t="str">
        <f t="shared" si="113"/>
        <v>女</v>
      </c>
      <c r="D2452" s="6" t="str">
        <f>"202127013916"</f>
        <v>202127013916</v>
      </c>
      <c r="E2452" s="10" t="s">
        <v>27</v>
      </c>
      <c r="F2452" s="6" t="s">
        <v>9</v>
      </c>
      <c r="G2452" s="8">
        <v>55.5</v>
      </c>
      <c r="H2452" s="6"/>
    </row>
    <row r="2453" spans="1:8">
      <c r="A2453" s="5">
        <v>2114</v>
      </c>
      <c r="B2453" s="6" t="str">
        <f>"邓朝阳"</f>
        <v>邓朝阳</v>
      </c>
      <c r="C2453" s="6" t="str">
        <f t="shared" si="113"/>
        <v>女</v>
      </c>
      <c r="D2453" s="6" t="str">
        <f>"202127013917"</f>
        <v>202127013917</v>
      </c>
      <c r="E2453" s="10" t="s">
        <v>27</v>
      </c>
      <c r="F2453" s="6" t="s">
        <v>9</v>
      </c>
      <c r="G2453" s="8">
        <v>59.5</v>
      </c>
      <c r="H2453" s="6"/>
    </row>
    <row r="2454" spans="1:8">
      <c r="A2454" s="5">
        <v>2238</v>
      </c>
      <c r="B2454" s="6" t="str">
        <f>"廖艳群"</f>
        <v>廖艳群</v>
      </c>
      <c r="C2454" s="6" t="str">
        <f t="shared" si="113"/>
        <v>女</v>
      </c>
      <c r="D2454" s="6" t="str">
        <f>"202127013918"</f>
        <v>202127013918</v>
      </c>
      <c r="E2454" s="10" t="s">
        <v>27</v>
      </c>
      <c r="F2454" s="6" t="s">
        <v>9</v>
      </c>
      <c r="G2454" s="8">
        <v>52.4</v>
      </c>
      <c r="H2454" s="6"/>
    </row>
    <row r="2455" spans="1:8">
      <c r="A2455" s="5">
        <v>1814</v>
      </c>
      <c r="B2455" s="6" t="str">
        <f>"王智阳"</f>
        <v>王智阳</v>
      </c>
      <c r="C2455" s="6" t="str">
        <f t="shared" si="113"/>
        <v>女</v>
      </c>
      <c r="D2455" s="6" t="str">
        <f>"202127013919"</f>
        <v>202127013919</v>
      </c>
      <c r="E2455" s="10" t="s">
        <v>27</v>
      </c>
      <c r="F2455" s="6" t="s">
        <v>9</v>
      </c>
      <c r="G2455" s="8">
        <v>51.5</v>
      </c>
      <c r="H2455" s="6"/>
    </row>
    <row r="2456" spans="1:8">
      <c r="A2456" s="5">
        <v>2262</v>
      </c>
      <c r="B2456" s="6" t="str">
        <f>"刘蜜蜜"</f>
        <v>刘蜜蜜</v>
      </c>
      <c r="C2456" s="6" t="str">
        <f t="shared" si="113"/>
        <v>女</v>
      </c>
      <c r="D2456" s="6" t="str">
        <f>"202127013920"</f>
        <v>202127013920</v>
      </c>
      <c r="E2456" s="10" t="s">
        <v>27</v>
      </c>
      <c r="F2456" s="6" t="s">
        <v>9</v>
      </c>
      <c r="G2456" s="8">
        <v>66.099999999999994</v>
      </c>
      <c r="H2456" s="6"/>
    </row>
    <row r="2457" spans="1:8">
      <c r="A2457" s="5">
        <v>1966</v>
      </c>
      <c r="B2457" s="6" t="str">
        <f>"陈慧璇"</f>
        <v>陈慧璇</v>
      </c>
      <c r="C2457" s="6" t="str">
        <f t="shared" si="113"/>
        <v>女</v>
      </c>
      <c r="D2457" s="6" t="str">
        <f>"202127013921"</f>
        <v>202127013921</v>
      </c>
      <c r="E2457" s="10" t="s">
        <v>27</v>
      </c>
      <c r="F2457" s="6" t="s">
        <v>9</v>
      </c>
      <c r="G2457" s="8">
        <v>41</v>
      </c>
      <c r="H2457" s="6"/>
    </row>
    <row r="2458" spans="1:8">
      <c r="A2458" s="5">
        <v>1994</v>
      </c>
      <c r="B2458" s="6" t="str">
        <f>"张婷"</f>
        <v>张婷</v>
      </c>
      <c r="C2458" s="6" t="str">
        <f t="shared" si="113"/>
        <v>女</v>
      </c>
      <c r="D2458" s="6" t="str">
        <f>"202127013922"</f>
        <v>202127013922</v>
      </c>
      <c r="E2458" s="10" t="s">
        <v>27</v>
      </c>
      <c r="F2458" s="6" t="s">
        <v>9</v>
      </c>
      <c r="G2458" s="8">
        <v>60.4</v>
      </c>
      <c r="H2458" s="6"/>
    </row>
    <row r="2459" spans="1:8">
      <c r="A2459" s="5">
        <v>2065</v>
      </c>
      <c r="B2459" s="6" t="str">
        <f>"刘香春"</f>
        <v>刘香春</v>
      </c>
      <c r="C2459" s="6" t="str">
        <f t="shared" si="113"/>
        <v>女</v>
      </c>
      <c r="D2459" s="6" t="str">
        <f>"202127013923"</f>
        <v>202127013923</v>
      </c>
      <c r="E2459" s="10" t="s">
        <v>27</v>
      </c>
      <c r="F2459" s="6" t="s">
        <v>9</v>
      </c>
      <c r="G2459" s="8">
        <v>63.35</v>
      </c>
      <c r="H2459" s="6"/>
    </row>
    <row r="2460" spans="1:8">
      <c r="A2460" s="5">
        <v>2448</v>
      </c>
      <c r="B2460" s="6" t="str">
        <f>"李文婷"</f>
        <v>李文婷</v>
      </c>
      <c r="C2460" s="6" t="str">
        <f t="shared" si="113"/>
        <v>女</v>
      </c>
      <c r="D2460" s="6" t="str">
        <f>"202127013924"</f>
        <v>202127013924</v>
      </c>
      <c r="E2460" s="10" t="s">
        <v>27</v>
      </c>
      <c r="F2460" s="6" t="s">
        <v>9</v>
      </c>
      <c r="G2460" s="8">
        <v>62.05</v>
      </c>
      <c r="H2460" s="6"/>
    </row>
    <row r="2461" spans="1:8">
      <c r="A2461" s="5">
        <v>1799</v>
      </c>
      <c r="B2461" s="6" t="str">
        <f>"杨淑霞"</f>
        <v>杨淑霞</v>
      </c>
      <c r="C2461" s="6" t="str">
        <f t="shared" si="113"/>
        <v>女</v>
      </c>
      <c r="D2461" s="6" t="str">
        <f>"202127013925"</f>
        <v>202127013925</v>
      </c>
      <c r="E2461" s="10" t="s">
        <v>27</v>
      </c>
      <c r="F2461" s="6" t="s">
        <v>9</v>
      </c>
      <c r="G2461" s="8">
        <v>51.1</v>
      </c>
      <c r="H2461" s="6"/>
    </row>
    <row r="2462" spans="1:8">
      <c r="A2462" s="5">
        <v>2175</v>
      </c>
      <c r="B2462" s="6" t="str">
        <f>"刘茜"</f>
        <v>刘茜</v>
      </c>
      <c r="C2462" s="6" t="str">
        <f t="shared" si="113"/>
        <v>女</v>
      </c>
      <c r="D2462" s="6" t="str">
        <f>"202127013926"</f>
        <v>202127013926</v>
      </c>
      <c r="E2462" s="10" t="s">
        <v>27</v>
      </c>
      <c r="F2462" s="6" t="s">
        <v>9</v>
      </c>
      <c r="G2462" s="8">
        <v>0</v>
      </c>
      <c r="H2462" s="9">
        <v>1</v>
      </c>
    </row>
    <row r="2463" spans="1:8">
      <c r="A2463" s="5">
        <v>2193</v>
      </c>
      <c r="B2463" s="6" t="str">
        <f>"蔡婧婧"</f>
        <v>蔡婧婧</v>
      </c>
      <c r="C2463" s="6" t="str">
        <f t="shared" si="113"/>
        <v>女</v>
      </c>
      <c r="D2463" s="6" t="str">
        <f>"202127013927"</f>
        <v>202127013927</v>
      </c>
      <c r="E2463" s="10" t="s">
        <v>27</v>
      </c>
      <c r="F2463" s="6" t="s">
        <v>9</v>
      </c>
      <c r="G2463" s="8">
        <v>58.3</v>
      </c>
      <c r="H2463" s="6"/>
    </row>
    <row r="2464" spans="1:8">
      <c r="A2464" s="5">
        <v>1822</v>
      </c>
      <c r="B2464" s="6" t="str">
        <f>"邓颖"</f>
        <v>邓颖</v>
      </c>
      <c r="C2464" s="6" t="str">
        <f t="shared" si="113"/>
        <v>女</v>
      </c>
      <c r="D2464" s="6" t="str">
        <f>"202127013928"</f>
        <v>202127013928</v>
      </c>
      <c r="E2464" s="10" t="s">
        <v>27</v>
      </c>
      <c r="F2464" s="6" t="s">
        <v>9</v>
      </c>
      <c r="G2464" s="8">
        <v>56.4</v>
      </c>
      <c r="H2464" s="6"/>
    </row>
    <row r="2465" spans="1:8">
      <c r="A2465" s="5">
        <v>1818</v>
      </c>
      <c r="B2465" s="6" t="str">
        <f>"刘芳"</f>
        <v>刘芳</v>
      </c>
      <c r="C2465" s="6" t="str">
        <f t="shared" si="113"/>
        <v>女</v>
      </c>
      <c r="D2465" s="6" t="str">
        <f>"202127013929"</f>
        <v>202127013929</v>
      </c>
      <c r="E2465" s="10" t="s">
        <v>27</v>
      </c>
      <c r="F2465" s="6" t="s">
        <v>9</v>
      </c>
      <c r="G2465" s="8">
        <v>51.5</v>
      </c>
      <c r="H2465" s="6"/>
    </row>
    <row r="2466" spans="1:8">
      <c r="A2466" s="5">
        <v>2201</v>
      </c>
      <c r="B2466" s="6" t="str">
        <f>"高娟"</f>
        <v>高娟</v>
      </c>
      <c r="C2466" s="6" t="str">
        <f t="shared" si="113"/>
        <v>女</v>
      </c>
      <c r="D2466" s="6" t="str">
        <f>"202127013930"</f>
        <v>202127013930</v>
      </c>
      <c r="E2466" s="10" t="s">
        <v>27</v>
      </c>
      <c r="F2466" s="6" t="s">
        <v>9</v>
      </c>
      <c r="G2466" s="8">
        <v>58.8</v>
      </c>
      <c r="H2466" s="6"/>
    </row>
    <row r="2467" spans="1:8">
      <c r="A2467" s="5">
        <v>2016</v>
      </c>
      <c r="B2467" s="6" t="str">
        <f>"张铮"</f>
        <v>张铮</v>
      </c>
      <c r="C2467" s="6" t="str">
        <f t="shared" si="113"/>
        <v>女</v>
      </c>
      <c r="D2467" s="6" t="str">
        <f>"202127014001"</f>
        <v>202127014001</v>
      </c>
      <c r="E2467" s="10" t="s">
        <v>27</v>
      </c>
      <c r="F2467" s="6" t="s">
        <v>9</v>
      </c>
      <c r="G2467" s="8">
        <v>44.4</v>
      </c>
      <c r="H2467" s="6"/>
    </row>
    <row r="2468" spans="1:8">
      <c r="A2468" s="5">
        <v>2072</v>
      </c>
      <c r="B2468" s="6" t="str">
        <f>"马晓军"</f>
        <v>马晓军</v>
      </c>
      <c r="C2468" s="6" t="str">
        <f>"男"</f>
        <v>男</v>
      </c>
      <c r="D2468" s="6" t="str">
        <f>"202127014002"</f>
        <v>202127014002</v>
      </c>
      <c r="E2468" s="10" t="s">
        <v>27</v>
      </c>
      <c r="F2468" s="6" t="s">
        <v>9</v>
      </c>
      <c r="G2468" s="8">
        <v>44</v>
      </c>
      <c r="H2468" s="6"/>
    </row>
    <row r="2469" spans="1:8">
      <c r="A2469" s="5">
        <v>1929</v>
      </c>
      <c r="B2469" s="6" t="str">
        <f>"唐小娟"</f>
        <v>唐小娟</v>
      </c>
      <c r="C2469" s="6" t="str">
        <f t="shared" ref="C2469:C2482" si="114">"女"</f>
        <v>女</v>
      </c>
      <c r="D2469" s="6" t="str">
        <f>"202127014003"</f>
        <v>202127014003</v>
      </c>
      <c r="E2469" s="10" t="s">
        <v>27</v>
      </c>
      <c r="F2469" s="6" t="s">
        <v>9</v>
      </c>
      <c r="G2469" s="8">
        <v>53.1</v>
      </c>
      <c r="H2469" s="6"/>
    </row>
    <row r="2470" spans="1:8">
      <c r="A2470" s="5">
        <v>1999</v>
      </c>
      <c r="B2470" s="6" t="str">
        <f>"李慧"</f>
        <v>李慧</v>
      </c>
      <c r="C2470" s="6" t="str">
        <f t="shared" si="114"/>
        <v>女</v>
      </c>
      <c r="D2470" s="6" t="str">
        <f>"202127014004"</f>
        <v>202127014004</v>
      </c>
      <c r="E2470" s="10" t="s">
        <v>27</v>
      </c>
      <c r="F2470" s="6" t="s">
        <v>9</v>
      </c>
      <c r="G2470" s="8">
        <v>46.5</v>
      </c>
      <c r="H2470" s="6"/>
    </row>
    <row r="2471" spans="1:8">
      <c r="A2471" s="5">
        <v>2100</v>
      </c>
      <c r="B2471" s="6" t="str">
        <f>"夏欢玲"</f>
        <v>夏欢玲</v>
      </c>
      <c r="C2471" s="6" t="str">
        <f t="shared" si="114"/>
        <v>女</v>
      </c>
      <c r="D2471" s="6" t="str">
        <f>"202127014005"</f>
        <v>202127014005</v>
      </c>
      <c r="E2471" s="10" t="s">
        <v>27</v>
      </c>
      <c r="F2471" s="6" t="s">
        <v>9</v>
      </c>
      <c r="G2471" s="8">
        <v>58.85</v>
      </c>
      <c r="H2471" s="6"/>
    </row>
    <row r="2472" spans="1:8">
      <c r="A2472" s="5">
        <v>2196</v>
      </c>
      <c r="B2472" s="6" t="str">
        <f>"欧珮瑶"</f>
        <v>欧珮瑶</v>
      </c>
      <c r="C2472" s="6" t="str">
        <f t="shared" si="114"/>
        <v>女</v>
      </c>
      <c r="D2472" s="6" t="str">
        <f>"202127014006"</f>
        <v>202127014006</v>
      </c>
      <c r="E2472" s="10" t="s">
        <v>27</v>
      </c>
      <c r="F2472" s="6" t="s">
        <v>9</v>
      </c>
      <c r="G2472" s="8">
        <v>51.9</v>
      </c>
      <c r="H2472" s="6"/>
    </row>
    <row r="2473" spans="1:8">
      <c r="A2473" s="5">
        <v>1960</v>
      </c>
      <c r="B2473" s="6" t="str">
        <f>"吕兰兰"</f>
        <v>吕兰兰</v>
      </c>
      <c r="C2473" s="6" t="str">
        <f t="shared" si="114"/>
        <v>女</v>
      </c>
      <c r="D2473" s="6" t="str">
        <f>"202127014007"</f>
        <v>202127014007</v>
      </c>
      <c r="E2473" s="10" t="s">
        <v>27</v>
      </c>
      <c r="F2473" s="6" t="s">
        <v>9</v>
      </c>
      <c r="G2473" s="8">
        <v>0</v>
      </c>
      <c r="H2473" s="9">
        <v>1</v>
      </c>
    </row>
    <row r="2474" spans="1:8">
      <c r="A2474" s="5">
        <v>2024</v>
      </c>
      <c r="B2474" s="6" t="str">
        <f>"洪花"</f>
        <v>洪花</v>
      </c>
      <c r="C2474" s="6" t="str">
        <f t="shared" si="114"/>
        <v>女</v>
      </c>
      <c r="D2474" s="6" t="str">
        <f>"202127014008"</f>
        <v>202127014008</v>
      </c>
      <c r="E2474" s="10" t="s">
        <v>27</v>
      </c>
      <c r="F2474" s="6" t="s">
        <v>9</v>
      </c>
      <c r="G2474" s="8">
        <v>68.900000000000006</v>
      </c>
      <c r="H2474" s="6"/>
    </row>
    <row r="2475" spans="1:8">
      <c r="A2475" s="5">
        <v>1840</v>
      </c>
      <c r="B2475" s="6" t="str">
        <f>"刘璐瑶"</f>
        <v>刘璐瑶</v>
      </c>
      <c r="C2475" s="6" t="str">
        <f t="shared" si="114"/>
        <v>女</v>
      </c>
      <c r="D2475" s="6" t="str">
        <f>"202127014009"</f>
        <v>202127014009</v>
      </c>
      <c r="E2475" s="10" t="s">
        <v>27</v>
      </c>
      <c r="F2475" s="6" t="s">
        <v>9</v>
      </c>
      <c r="G2475" s="8">
        <v>53.65</v>
      </c>
      <c r="H2475" s="6"/>
    </row>
    <row r="2476" spans="1:8">
      <c r="A2476" s="5">
        <v>2349</v>
      </c>
      <c r="B2476" s="6" t="str">
        <f>"李佳"</f>
        <v>李佳</v>
      </c>
      <c r="C2476" s="6" t="str">
        <f t="shared" si="114"/>
        <v>女</v>
      </c>
      <c r="D2476" s="6" t="str">
        <f>"202127014010"</f>
        <v>202127014010</v>
      </c>
      <c r="E2476" s="10" t="s">
        <v>27</v>
      </c>
      <c r="F2476" s="6" t="s">
        <v>9</v>
      </c>
      <c r="G2476" s="8">
        <v>58.35</v>
      </c>
      <c r="H2476" s="6"/>
    </row>
    <row r="2477" spans="1:8">
      <c r="A2477" s="5">
        <v>2241</v>
      </c>
      <c r="B2477" s="6" t="str">
        <f>"李凡凡"</f>
        <v>李凡凡</v>
      </c>
      <c r="C2477" s="6" t="str">
        <f t="shared" si="114"/>
        <v>女</v>
      </c>
      <c r="D2477" s="6" t="str">
        <f>"202127014011"</f>
        <v>202127014011</v>
      </c>
      <c r="E2477" s="10" t="s">
        <v>27</v>
      </c>
      <c r="F2477" s="6" t="s">
        <v>9</v>
      </c>
      <c r="G2477" s="8">
        <v>55.25</v>
      </c>
      <c r="H2477" s="6"/>
    </row>
    <row r="2478" spans="1:8">
      <c r="A2478" s="5">
        <v>1789</v>
      </c>
      <c r="B2478" s="6" t="str">
        <f>"莫一莉"</f>
        <v>莫一莉</v>
      </c>
      <c r="C2478" s="6" t="str">
        <f t="shared" si="114"/>
        <v>女</v>
      </c>
      <c r="D2478" s="6" t="str">
        <f>"202127014012"</f>
        <v>202127014012</v>
      </c>
      <c r="E2478" s="10" t="s">
        <v>27</v>
      </c>
      <c r="F2478" s="6" t="s">
        <v>9</v>
      </c>
      <c r="G2478" s="8">
        <v>48.35</v>
      </c>
      <c r="H2478" s="6"/>
    </row>
    <row r="2479" spans="1:8">
      <c r="A2479" s="5">
        <v>1873</v>
      </c>
      <c r="B2479" s="6" t="str">
        <f>"朱美霞"</f>
        <v>朱美霞</v>
      </c>
      <c r="C2479" s="6" t="str">
        <f t="shared" si="114"/>
        <v>女</v>
      </c>
      <c r="D2479" s="6" t="str">
        <f>"202127014013"</f>
        <v>202127014013</v>
      </c>
      <c r="E2479" s="10" t="s">
        <v>27</v>
      </c>
      <c r="F2479" s="6" t="s">
        <v>9</v>
      </c>
      <c r="G2479" s="8">
        <v>54.45</v>
      </c>
      <c r="H2479" s="6"/>
    </row>
    <row r="2480" spans="1:8">
      <c r="A2480" s="5">
        <v>2290</v>
      </c>
      <c r="B2480" s="6" t="str">
        <f>"彭聪秀"</f>
        <v>彭聪秀</v>
      </c>
      <c r="C2480" s="6" t="str">
        <f t="shared" si="114"/>
        <v>女</v>
      </c>
      <c r="D2480" s="6" t="str">
        <f>"202127014014"</f>
        <v>202127014014</v>
      </c>
      <c r="E2480" s="10" t="s">
        <v>27</v>
      </c>
      <c r="F2480" s="6" t="s">
        <v>9</v>
      </c>
      <c r="G2480" s="8">
        <v>55.65</v>
      </c>
      <c r="H2480" s="6"/>
    </row>
    <row r="2481" spans="1:8">
      <c r="A2481" s="5">
        <v>2099</v>
      </c>
      <c r="B2481" s="6" t="str">
        <f>"肖瑛方"</f>
        <v>肖瑛方</v>
      </c>
      <c r="C2481" s="6" t="str">
        <f t="shared" si="114"/>
        <v>女</v>
      </c>
      <c r="D2481" s="6" t="str">
        <f>"202127014015"</f>
        <v>202127014015</v>
      </c>
      <c r="E2481" s="10" t="s">
        <v>27</v>
      </c>
      <c r="F2481" s="6" t="s">
        <v>9</v>
      </c>
      <c r="G2481" s="8">
        <v>63.95</v>
      </c>
      <c r="H2481" s="6"/>
    </row>
    <row r="2482" spans="1:8">
      <c r="A2482" s="5">
        <v>2027</v>
      </c>
      <c r="B2482" s="6" t="str">
        <f>"许林莎"</f>
        <v>许林莎</v>
      </c>
      <c r="C2482" s="6" t="str">
        <f t="shared" si="114"/>
        <v>女</v>
      </c>
      <c r="D2482" s="6" t="str">
        <f>"202127014016"</f>
        <v>202127014016</v>
      </c>
      <c r="E2482" s="10" t="s">
        <v>27</v>
      </c>
      <c r="F2482" s="6" t="s">
        <v>9</v>
      </c>
      <c r="G2482" s="8">
        <v>54.7</v>
      </c>
      <c r="H2482" s="6"/>
    </row>
    <row r="2483" spans="1:8">
      <c r="A2483" s="5">
        <v>2218</v>
      </c>
      <c r="B2483" s="6" t="str">
        <f>"卿健民"</f>
        <v>卿健民</v>
      </c>
      <c r="C2483" s="6" t="str">
        <f>"男"</f>
        <v>男</v>
      </c>
      <c r="D2483" s="6" t="str">
        <f>"202127014017"</f>
        <v>202127014017</v>
      </c>
      <c r="E2483" s="10" t="s">
        <v>27</v>
      </c>
      <c r="F2483" s="6" t="s">
        <v>9</v>
      </c>
      <c r="G2483" s="8">
        <v>42.5</v>
      </c>
      <c r="H2483" s="6"/>
    </row>
    <row r="2484" spans="1:8">
      <c r="A2484" s="5">
        <v>2022</v>
      </c>
      <c r="B2484" s="6" t="str">
        <f>"颜素敏"</f>
        <v>颜素敏</v>
      </c>
      <c r="C2484" s="6" t="str">
        <f t="shared" ref="C2484:C2506" si="115">"女"</f>
        <v>女</v>
      </c>
      <c r="D2484" s="6" t="str">
        <f>"202127014018"</f>
        <v>202127014018</v>
      </c>
      <c r="E2484" s="10" t="s">
        <v>27</v>
      </c>
      <c r="F2484" s="6" t="s">
        <v>9</v>
      </c>
      <c r="G2484" s="8">
        <v>44.8</v>
      </c>
      <c r="H2484" s="6"/>
    </row>
    <row r="2485" spans="1:8">
      <c r="A2485" s="5">
        <v>2136</v>
      </c>
      <c r="B2485" s="6" t="str">
        <f>"邓吟维"</f>
        <v>邓吟维</v>
      </c>
      <c r="C2485" s="6" t="str">
        <f t="shared" si="115"/>
        <v>女</v>
      </c>
      <c r="D2485" s="6" t="str">
        <f>"202127014019"</f>
        <v>202127014019</v>
      </c>
      <c r="E2485" s="10" t="s">
        <v>27</v>
      </c>
      <c r="F2485" s="6" t="s">
        <v>9</v>
      </c>
      <c r="G2485" s="8">
        <v>61.55</v>
      </c>
      <c r="H2485" s="6"/>
    </row>
    <row r="2486" spans="1:8">
      <c r="A2486" s="5">
        <v>2379</v>
      </c>
      <c r="B2486" s="6" t="str">
        <f>"杨冰姿"</f>
        <v>杨冰姿</v>
      </c>
      <c r="C2486" s="6" t="str">
        <f t="shared" si="115"/>
        <v>女</v>
      </c>
      <c r="D2486" s="6" t="str">
        <f>"202127014020"</f>
        <v>202127014020</v>
      </c>
      <c r="E2486" s="10" t="s">
        <v>27</v>
      </c>
      <c r="F2486" s="6" t="s">
        <v>9</v>
      </c>
      <c r="G2486" s="8">
        <v>66.5</v>
      </c>
      <c r="H2486" s="6"/>
    </row>
    <row r="2487" spans="1:8">
      <c r="A2487" s="5">
        <v>2051</v>
      </c>
      <c r="B2487" s="6" t="str">
        <f>"林菲菲"</f>
        <v>林菲菲</v>
      </c>
      <c r="C2487" s="6" t="str">
        <f t="shared" si="115"/>
        <v>女</v>
      </c>
      <c r="D2487" s="6" t="str">
        <f>"202127014021"</f>
        <v>202127014021</v>
      </c>
      <c r="E2487" s="10" t="s">
        <v>27</v>
      </c>
      <c r="F2487" s="6" t="s">
        <v>9</v>
      </c>
      <c r="G2487" s="8">
        <v>54.25</v>
      </c>
      <c r="H2487" s="6"/>
    </row>
    <row r="2488" spans="1:8">
      <c r="A2488" s="5">
        <v>2296</v>
      </c>
      <c r="B2488" s="6" t="str">
        <f>"蒋梦丽"</f>
        <v>蒋梦丽</v>
      </c>
      <c r="C2488" s="6" t="str">
        <f t="shared" si="115"/>
        <v>女</v>
      </c>
      <c r="D2488" s="6" t="str">
        <f>"202127014022"</f>
        <v>202127014022</v>
      </c>
      <c r="E2488" s="10" t="s">
        <v>27</v>
      </c>
      <c r="F2488" s="6" t="s">
        <v>9</v>
      </c>
      <c r="G2488" s="8">
        <v>51.25</v>
      </c>
      <c r="H2488" s="6"/>
    </row>
    <row r="2489" spans="1:8">
      <c r="A2489" s="5">
        <v>1768</v>
      </c>
      <c r="B2489" s="6" t="str">
        <f>"唐琼"</f>
        <v>唐琼</v>
      </c>
      <c r="C2489" s="6" t="str">
        <f t="shared" si="115"/>
        <v>女</v>
      </c>
      <c r="D2489" s="6" t="str">
        <f>"202127014023"</f>
        <v>202127014023</v>
      </c>
      <c r="E2489" s="10" t="s">
        <v>27</v>
      </c>
      <c r="F2489" s="6" t="s">
        <v>9</v>
      </c>
      <c r="G2489" s="8">
        <v>0</v>
      </c>
      <c r="H2489" s="9">
        <v>1</v>
      </c>
    </row>
    <row r="2490" spans="1:8">
      <c r="A2490" s="5">
        <v>2066</v>
      </c>
      <c r="B2490" s="6" t="str">
        <f>"谭佳佳"</f>
        <v>谭佳佳</v>
      </c>
      <c r="C2490" s="6" t="str">
        <f t="shared" si="115"/>
        <v>女</v>
      </c>
      <c r="D2490" s="6" t="str">
        <f>"202127014024"</f>
        <v>202127014024</v>
      </c>
      <c r="E2490" s="10" t="s">
        <v>27</v>
      </c>
      <c r="F2490" s="6" t="s">
        <v>9</v>
      </c>
      <c r="G2490" s="8">
        <v>55.65</v>
      </c>
      <c r="H2490" s="6"/>
    </row>
    <row r="2491" spans="1:8">
      <c r="A2491" s="5">
        <v>2081</v>
      </c>
      <c r="B2491" s="6" t="str">
        <f>"雷黎阳"</f>
        <v>雷黎阳</v>
      </c>
      <c r="C2491" s="6" t="str">
        <f t="shared" si="115"/>
        <v>女</v>
      </c>
      <c r="D2491" s="6" t="str">
        <f>"202127014025"</f>
        <v>202127014025</v>
      </c>
      <c r="E2491" s="10" t="s">
        <v>27</v>
      </c>
      <c r="F2491" s="6" t="s">
        <v>9</v>
      </c>
      <c r="G2491" s="8">
        <v>59</v>
      </c>
      <c r="H2491" s="6"/>
    </row>
    <row r="2492" spans="1:8">
      <c r="A2492" s="5">
        <v>2188</v>
      </c>
      <c r="B2492" s="6" t="str">
        <f>"陈洁"</f>
        <v>陈洁</v>
      </c>
      <c r="C2492" s="6" t="str">
        <f t="shared" si="115"/>
        <v>女</v>
      </c>
      <c r="D2492" s="6" t="str">
        <f>"202127014026"</f>
        <v>202127014026</v>
      </c>
      <c r="E2492" s="10" t="s">
        <v>27</v>
      </c>
      <c r="F2492" s="6" t="s">
        <v>9</v>
      </c>
      <c r="G2492" s="8">
        <v>55.2</v>
      </c>
      <c r="H2492" s="6"/>
    </row>
    <row r="2493" spans="1:8">
      <c r="A2493" s="5">
        <v>1957</v>
      </c>
      <c r="B2493" s="6" t="str">
        <f>"徐倩倩"</f>
        <v>徐倩倩</v>
      </c>
      <c r="C2493" s="6" t="str">
        <f t="shared" si="115"/>
        <v>女</v>
      </c>
      <c r="D2493" s="6" t="str">
        <f>"202127014027"</f>
        <v>202127014027</v>
      </c>
      <c r="E2493" s="10" t="s">
        <v>27</v>
      </c>
      <c r="F2493" s="6" t="s">
        <v>9</v>
      </c>
      <c r="G2493" s="8">
        <v>59.55</v>
      </c>
      <c r="H2493" s="6"/>
    </row>
    <row r="2494" spans="1:8">
      <c r="A2494" s="5">
        <v>1779</v>
      </c>
      <c r="B2494" s="6" t="str">
        <f>"邓利平"</f>
        <v>邓利平</v>
      </c>
      <c r="C2494" s="6" t="str">
        <f t="shared" si="115"/>
        <v>女</v>
      </c>
      <c r="D2494" s="6" t="str">
        <f>"202127014028"</f>
        <v>202127014028</v>
      </c>
      <c r="E2494" s="10" t="s">
        <v>27</v>
      </c>
      <c r="F2494" s="6" t="s">
        <v>9</v>
      </c>
      <c r="G2494" s="8">
        <v>69.45</v>
      </c>
      <c r="H2494" s="6"/>
    </row>
    <row r="2495" spans="1:8">
      <c r="A2495" s="5">
        <v>2396</v>
      </c>
      <c r="B2495" s="6" t="str">
        <f>"吕娟"</f>
        <v>吕娟</v>
      </c>
      <c r="C2495" s="6" t="str">
        <f t="shared" si="115"/>
        <v>女</v>
      </c>
      <c r="D2495" s="6" t="str">
        <f>"202127014029"</f>
        <v>202127014029</v>
      </c>
      <c r="E2495" s="10" t="s">
        <v>27</v>
      </c>
      <c r="F2495" s="6" t="s">
        <v>9</v>
      </c>
      <c r="G2495" s="8">
        <v>57</v>
      </c>
      <c r="H2495" s="6"/>
    </row>
    <row r="2496" spans="1:8">
      <c r="A2496" s="5">
        <v>1907</v>
      </c>
      <c r="B2496" s="6" t="str">
        <f>"曾霞"</f>
        <v>曾霞</v>
      </c>
      <c r="C2496" s="6" t="str">
        <f t="shared" si="115"/>
        <v>女</v>
      </c>
      <c r="D2496" s="6" t="str">
        <f>"202127014030"</f>
        <v>202127014030</v>
      </c>
      <c r="E2496" s="10" t="s">
        <v>27</v>
      </c>
      <c r="F2496" s="6" t="s">
        <v>9</v>
      </c>
      <c r="G2496" s="8">
        <v>63.05</v>
      </c>
      <c r="H2496" s="6"/>
    </row>
    <row r="2497" spans="1:8">
      <c r="A2497" s="5">
        <v>2351</v>
      </c>
      <c r="B2497" s="6" t="str">
        <f>"邓浏艳"</f>
        <v>邓浏艳</v>
      </c>
      <c r="C2497" s="6" t="str">
        <f t="shared" si="115"/>
        <v>女</v>
      </c>
      <c r="D2497" s="6" t="str">
        <f>"202127014101"</f>
        <v>202127014101</v>
      </c>
      <c r="E2497" s="10" t="s">
        <v>27</v>
      </c>
      <c r="F2497" s="6" t="s">
        <v>9</v>
      </c>
      <c r="G2497" s="8">
        <v>55.4</v>
      </c>
      <c r="H2497" s="6"/>
    </row>
    <row r="2498" spans="1:8">
      <c r="A2498" s="5">
        <v>2144</v>
      </c>
      <c r="B2498" s="6" t="str">
        <f>"陈潇"</f>
        <v>陈潇</v>
      </c>
      <c r="C2498" s="6" t="str">
        <f t="shared" si="115"/>
        <v>女</v>
      </c>
      <c r="D2498" s="6" t="str">
        <f>"202127014102"</f>
        <v>202127014102</v>
      </c>
      <c r="E2498" s="10" t="s">
        <v>27</v>
      </c>
      <c r="F2498" s="6" t="s">
        <v>9</v>
      </c>
      <c r="G2498" s="8">
        <v>44.9</v>
      </c>
      <c r="H2498" s="6"/>
    </row>
    <row r="2499" spans="1:8">
      <c r="A2499" s="5">
        <v>2191</v>
      </c>
      <c r="B2499" s="6" t="str">
        <f>"蒋小慧"</f>
        <v>蒋小慧</v>
      </c>
      <c r="C2499" s="6" t="str">
        <f t="shared" si="115"/>
        <v>女</v>
      </c>
      <c r="D2499" s="6" t="str">
        <f>"202127014103"</f>
        <v>202127014103</v>
      </c>
      <c r="E2499" s="10" t="s">
        <v>27</v>
      </c>
      <c r="F2499" s="6" t="s">
        <v>9</v>
      </c>
      <c r="G2499" s="8">
        <v>58.15</v>
      </c>
      <c r="H2499" s="6"/>
    </row>
    <row r="2500" spans="1:8">
      <c r="A2500" s="5">
        <v>2398</v>
      </c>
      <c r="B2500" s="6" t="str">
        <f>"孟菲"</f>
        <v>孟菲</v>
      </c>
      <c r="C2500" s="6" t="str">
        <f t="shared" si="115"/>
        <v>女</v>
      </c>
      <c r="D2500" s="6" t="str">
        <f>"202127014104"</f>
        <v>202127014104</v>
      </c>
      <c r="E2500" s="10" t="s">
        <v>27</v>
      </c>
      <c r="F2500" s="6" t="s">
        <v>9</v>
      </c>
      <c r="G2500" s="8">
        <v>45.5</v>
      </c>
      <c r="H2500" s="6"/>
    </row>
    <row r="2501" spans="1:8">
      <c r="A2501" s="5">
        <v>2205</v>
      </c>
      <c r="B2501" s="6" t="str">
        <f>"孙诗佳"</f>
        <v>孙诗佳</v>
      </c>
      <c r="C2501" s="6" t="str">
        <f t="shared" si="115"/>
        <v>女</v>
      </c>
      <c r="D2501" s="6" t="str">
        <f>"202127014105"</f>
        <v>202127014105</v>
      </c>
      <c r="E2501" s="10" t="s">
        <v>27</v>
      </c>
      <c r="F2501" s="6" t="s">
        <v>9</v>
      </c>
      <c r="G2501" s="8">
        <v>56.5</v>
      </c>
      <c r="H2501" s="6"/>
    </row>
    <row r="2502" spans="1:8">
      <c r="A2502" s="5">
        <v>2130</v>
      </c>
      <c r="B2502" s="6" t="str">
        <f>"李连梅"</f>
        <v>李连梅</v>
      </c>
      <c r="C2502" s="6" t="str">
        <f t="shared" si="115"/>
        <v>女</v>
      </c>
      <c r="D2502" s="6" t="str">
        <f>"202127014106"</f>
        <v>202127014106</v>
      </c>
      <c r="E2502" s="10" t="s">
        <v>27</v>
      </c>
      <c r="F2502" s="6" t="s">
        <v>9</v>
      </c>
      <c r="G2502" s="8">
        <v>53.45</v>
      </c>
      <c r="H2502" s="6"/>
    </row>
    <row r="2503" spans="1:8">
      <c r="A2503" s="5">
        <v>2107</v>
      </c>
      <c r="B2503" s="6" t="str">
        <f>"隆乐华"</f>
        <v>隆乐华</v>
      </c>
      <c r="C2503" s="6" t="str">
        <f t="shared" si="115"/>
        <v>女</v>
      </c>
      <c r="D2503" s="6" t="str">
        <f>"202127014107"</f>
        <v>202127014107</v>
      </c>
      <c r="E2503" s="10" t="s">
        <v>27</v>
      </c>
      <c r="F2503" s="6" t="s">
        <v>9</v>
      </c>
      <c r="G2503" s="8">
        <v>48.45</v>
      </c>
      <c r="H2503" s="6"/>
    </row>
    <row r="2504" spans="1:8">
      <c r="A2504" s="5">
        <v>1946</v>
      </c>
      <c r="B2504" s="6" t="str">
        <f>"唐诺雅"</f>
        <v>唐诺雅</v>
      </c>
      <c r="C2504" s="6" t="str">
        <f t="shared" si="115"/>
        <v>女</v>
      </c>
      <c r="D2504" s="6" t="str">
        <f>"202127014108"</f>
        <v>202127014108</v>
      </c>
      <c r="E2504" s="10" t="s">
        <v>27</v>
      </c>
      <c r="F2504" s="6" t="s">
        <v>9</v>
      </c>
      <c r="G2504" s="8">
        <v>49.6</v>
      </c>
      <c r="H2504" s="6"/>
    </row>
    <row r="2505" spans="1:8">
      <c r="A2505" s="5">
        <v>1883</v>
      </c>
      <c r="B2505" s="6" t="str">
        <f>"黄阳"</f>
        <v>黄阳</v>
      </c>
      <c r="C2505" s="6" t="str">
        <f t="shared" si="115"/>
        <v>女</v>
      </c>
      <c r="D2505" s="6" t="str">
        <f>"202127014109"</f>
        <v>202127014109</v>
      </c>
      <c r="E2505" s="10" t="s">
        <v>27</v>
      </c>
      <c r="F2505" s="6" t="s">
        <v>9</v>
      </c>
      <c r="G2505" s="8">
        <v>54.8</v>
      </c>
      <c r="H2505" s="6"/>
    </row>
    <row r="2506" spans="1:8">
      <c r="A2506" s="5">
        <v>1934</v>
      </c>
      <c r="B2506" s="6" t="str">
        <f>"邓菲"</f>
        <v>邓菲</v>
      </c>
      <c r="C2506" s="6" t="str">
        <f t="shared" si="115"/>
        <v>女</v>
      </c>
      <c r="D2506" s="6" t="str">
        <f>"202127014110"</f>
        <v>202127014110</v>
      </c>
      <c r="E2506" s="10" t="s">
        <v>27</v>
      </c>
      <c r="F2506" s="6" t="s">
        <v>9</v>
      </c>
      <c r="G2506" s="8">
        <v>48.55</v>
      </c>
      <c r="H2506" s="6"/>
    </row>
    <row r="2507" spans="1:8">
      <c r="A2507" s="5">
        <v>2140</v>
      </c>
      <c r="B2507" s="6" t="str">
        <f>"刘添鸿"</f>
        <v>刘添鸿</v>
      </c>
      <c r="C2507" s="6" t="str">
        <f>"男"</f>
        <v>男</v>
      </c>
      <c r="D2507" s="6" t="str">
        <f>"202127014111"</f>
        <v>202127014111</v>
      </c>
      <c r="E2507" s="10" t="s">
        <v>27</v>
      </c>
      <c r="F2507" s="6" t="s">
        <v>9</v>
      </c>
      <c r="G2507" s="8">
        <v>47.5</v>
      </c>
      <c r="H2507" s="6"/>
    </row>
    <row r="2508" spans="1:8">
      <c r="A2508" s="5">
        <v>1904</v>
      </c>
      <c r="B2508" s="6" t="str">
        <f>"赵智慧"</f>
        <v>赵智慧</v>
      </c>
      <c r="C2508" s="6" t="str">
        <f t="shared" ref="C2508:C2539" si="116">"女"</f>
        <v>女</v>
      </c>
      <c r="D2508" s="6" t="str">
        <f>"202127014112"</f>
        <v>202127014112</v>
      </c>
      <c r="E2508" s="10" t="s">
        <v>27</v>
      </c>
      <c r="F2508" s="6" t="s">
        <v>9</v>
      </c>
      <c r="G2508" s="8">
        <v>57</v>
      </c>
      <c r="H2508" s="6"/>
    </row>
    <row r="2509" spans="1:8">
      <c r="A2509" s="5">
        <v>2265</v>
      </c>
      <c r="B2509" s="6" t="str">
        <f>"袁可慧"</f>
        <v>袁可慧</v>
      </c>
      <c r="C2509" s="6" t="str">
        <f t="shared" si="116"/>
        <v>女</v>
      </c>
      <c r="D2509" s="6" t="str">
        <f>"202127014113"</f>
        <v>202127014113</v>
      </c>
      <c r="E2509" s="10" t="s">
        <v>27</v>
      </c>
      <c r="F2509" s="6" t="s">
        <v>9</v>
      </c>
      <c r="G2509" s="8">
        <v>58.95</v>
      </c>
      <c r="H2509" s="6"/>
    </row>
    <row r="2510" spans="1:8">
      <c r="A2510" s="5">
        <v>2054</v>
      </c>
      <c r="B2510" s="6" t="str">
        <f>"姚丹"</f>
        <v>姚丹</v>
      </c>
      <c r="C2510" s="6" t="str">
        <f t="shared" si="116"/>
        <v>女</v>
      </c>
      <c r="D2510" s="6" t="str">
        <f>"202127014114"</f>
        <v>202127014114</v>
      </c>
      <c r="E2510" s="10" t="s">
        <v>27</v>
      </c>
      <c r="F2510" s="6" t="s">
        <v>9</v>
      </c>
      <c r="G2510" s="8">
        <v>50.65</v>
      </c>
      <c r="H2510" s="6"/>
    </row>
    <row r="2511" spans="1:8">
      <c r="A2511" s="5">
        <v>2353</v>
      </c>
      <c r="B2511" s="6" t="str">
        <f>"唐佳丽"</f>
        <v>唐佳丽</v>
      </c>
      <c r="C2511" s="6" t="str">
        <f t="shared" si="116"/>
        <v>女</v>
      </c>
      <c r="D2511" s="6" t="str">
        <f>"202127014115"</f>
        <v>202127014115</v>
      </c>
      <c r="E2511" s="10" t="s">
        <v>27</v>
      </c>
      <c r="F2511" s="6" t="s">
        <v>9</v>
      </c>
      <c r="G2511" s="8">
        <v>0</v>
      </c>
      <c r="H2511" s="9">
        <v>1</v>
      </c>
    </row>
    <row r="2512" spans="1:8">
      <c r="A2512" s="5">
        <v>2348</v>
      </c>
      <c r="B2512" s="6" t="str">
        <f>"钟鹏羽"</f>
        <v>钟鹏羽</v>
      </c>
      <c r="C2512" s="6" t="str">
        <f t="shared" si="116"/>
        <v>女</v>
      </c>
      <c r="D2512" s="6" t="str">
        <f>"202127014116"</f>
        <v>202127014116</v>
      </c>
      <c r="E2512" s="10" t="s">
        <v>27</v>
      </c>
      <c r="F2512" s="6" t="s">
        <v>9</v>
      </c>
      <c r="G2512" s="8">
        <v>66.8</v>
      </c>
      <c r="H2512" s="6"/>
    </row>
    <row r="2513" spans="1:8">
      <c r="A2513" s="5">
        <v>2204</v>
      </c>
      <c r="B2513" s="6" t="str">
        <f>"黄栋林"</f>
        <v>黄栋林</v>
      </c>
      <c r="C2513" s="6" t="str">
        <f t="shared" si="116"/>
        <v>女</v>
      </c>
      <c r="D2513" s="6" t="str">
        <f>"202127014117"</f>
        <v>202127014117</v>
      </c>
      <c r="E2513" s="10" t="s">
        <v>27</v>
      </c>
      <c r="F2513" s="6" t="s">
        <v>9</v>
      </c>
      <c r="G2513" s="8">
        <v>60.85</v>
      </c>
      <c r="H2513" s="6"/>
    </row>
    <row r="2514" spans="1:8">
      <c r="A2514" s="5">
        <v>1989</v>
      </c>
      <c r="B2514" s="6" t="str">
        <f>"向晖东"</f>
        <v>向晖东</v>
      </c>
      <c r="C2514" s="6" t="str">
        <f t="shared" si="116"/>
        <v>女</v>
      </c>
      <c r="D2514" s="6" t="str">
        <f>"202127014118"</f>
        <v>202127014118</v>
      </c>
      <c r="E2514" s="10" t="s">
        <v>27</v>
      </c>
      <c r="F2514" s="6" t="s">
        <v>9</v>
      </c>
      <c r="G2514" s="8">
        <v>55.25</v>
      </c>
      <c r="H2514" s="6"/>
    </row>
    <row r="2515" spans="1:8">
      <c r="A2515" s="5">
        <v>1936</v>
      </c>
      <c r="B2515" s="6" t="str">
        <f>"张湘"</f>
        <v>张湘</v>
      </c>
      <c r="C2515" s="6" t="str">
        <f t="shared" si="116"/>
        <v>女</v>
      </c>
      <c r="D2515" s="6" t="str">
        <f>"202127014119"</f>
        <v>202127014119</v>
      </c>
      <c r="E2515" s="10" t="s">
        <v>27</v>
      </c>
      <c r="F2515" s="6" t="s">
        <v>9</v>
      </c>
      <c r="G2515" s="8">
        <v>52.55</v>
      </c>
      <c r="H2515" s="6"/>
    </row>
    <row r="2516" spans="1:8">
      <c r="A2516" s="5">
        <v>2237</v>
      </c>
      <c r="B2516" s="6" t="str">
        <f>"杨春红"</f>
        <v>杨春红</v>
      </c>
      <c r="C2516" s="6" t="str">
        <f t="shared" si="116"/>
        <v>女</v>
      </c>
      <c r="D2516" s="6" t="str">
        <f>"202127014120"</f>
        <v>202127014120</v>
      </c>
      <c r="E2516" s="10" t="s">
        <v>27</v>
      </c>
      <c r="F2516" s="6" t="s">
        <v>9</v>
      </c>
      <c r="G2516" s="8">
        <v>64.25</v>
      </c>
      <c r="H2516" s="6"/>
    </row>
    <row r="2517" spans="1:8">
      <c r="A2517" s="5">
        <v>2440</v>
      </c>
      <c r="B2517" s="6" t="str">
        <f>"李珍"</f>
        <v>李珍</v>
      </c>
      <c r="C2517" s="6" t="str">
        <f t="shared" si="116"/>
        <v>女</v>
      </c>
      <c r="D2517" s="6" t="str">
        <f>"202127014121"</f>
        <v>202127014121</v>
      </c>
      <c r="E2517" s="10" t="s">
        <v>27</v>
      </c>
      <c r="F2517" s="6" t="s">
        <v>9</v>
      </c>
      <c r="G2517" s="8">
        <v>50.55</v>
      </c>
      <c r="H2517" s="6"/>
    </row>
    <row r="2518" spans="1:8">
      <c r="A2518" s="5">
        <v>2079</v>
      </c>
      <c r="B2518" s="6" t="str">
        <f>"马小金"</f>
        <v>马小金</v>
      </c>
      <c r="C2518" s="6" t="str">
        <f t="shared" si="116"/>
        <v>女</v>
      </c>
      <c r="D2518" s="6" t="str">
        <f>"202127014122"</f>
        <v>202127014122</v>
      </c>
      <c r="E2518" s="10" t="s">
        <v>27</v>
      </c>
      <c r="F2518" s="6" t="s">
        <v>9</v>
      </c>
      <c r="G2518" s="8">
        <v>63.35</v>
      </c>
      <c r="H2518" s="6"/>
    </row>
    <row r="2519" spans="1:8">
      <c r="A2519" s="5">
        <v>2215</v>
      </c>
      <c r="B2519" s="6" t="str">
        <f>"陈凤香"</f>
        <v>陈凤香</v>
      </c>
      <c r="C2519" s="6" t="str">
        <f t="shared" si="116"/>
        <v>女</v>
      </c>
      <c r="D2519" s="6" t="str">
        <f>"202127014123"</f>
        <v>202127014123</v>
      </c>
      <c r="E2519" s="10" t="s">
        <v>27</v>
      </c>
      <c r="F2519" s="6" t="s">
        <v>9</v>
      </c>
      <c r="G2519" s="8">
        <v>65.400000000000006</v>
      </c>
      <c r="H2519" s="6"/>
    </row>
    <row r="2520" spans="1:8">
      <c r="A2520" s="5">
        <v>1927</v>
      </c>
      <c r="B2520" s="6" t="str">
        <f>"杨雯洁"</f>
        <v>杨雯洁</v>
      </c>
      <c r="C2520" s="6" t="str">
        <f t="shared" si="116"/>
        <v>女</v>
      </c>
      <c r="D2520" s="6" t="str">
        <f>"202127014124"</f>
        <v>202127014124</v>
      </c>
      <c r="E2520" s="10" t="s">
        <v>27</v>
      </c>
      <c r="F2520" s="6" t="s">
        <v>9</v>
      </c>
      <c r="G2520" s="8">
        <v>52</v>
      </c>
      <c r="H2520" s="6"/>
    </row>
    <row r="2521" spans="1:8">
      <c r="A2521" s="5">
        <v>2408</v>
      </c>
      <c r="B2521" s="6" t="str">
        <f>"刘晨晨"</f>
        <v>刘晨晨</v>
      </c>
      <c r="C2521" s="6" t="str">
        <f t="shared" si="116"/>
        <v>女</v>
      </c>
      <c r="D2521" s="6" t="str">
        <f>"202127014125"</f>
        <v>202127014125</v>
      </c>
      <c r="E2521" s="10" t="s">
        <v>27</v>
      </c>
      <c r="F2521" s="6" t="s">
        <v>9</v>
      </c>
      <c r="G2521" s="8">
        <v>53.75</v>
      </c>
      <c r="H2521" s="6"/>
    </row>
    <row r="2522" spans="1:8">
      <c r="A2522" s="5">
        <v>2336</v>
      </c>
      <c r="B2522" s="6" t="str">
        <f>"戴雯"</f>
        <v>戴雯</v>
      </c>
      <c r="C2522" s="6" t="str">
        <f t="shared" si="116"/>
        <v>女</v>
      </c>
      <c r="D2522" s="6" t="str">
        <f>"202127014126"</f>
        <v>202127014126</v>
      </c>
      <c r="E2522" s="10" t="s">
        <v>27</v>
      </c>
      <c r="F2522" s="6" t="s">
        <v>9</v>
      </c>
      <c r="G2522" s="8">
        <v>48.7</v>
      </c>
      <c r="H2522" s="6"/>
    </row>
    <row r="2523" spans="1:8">
      <c r="A2523" s="5">
        <v>2403</v>
      </c>
      <c r="B2523" s="6" t="str">
        <f>"曾春艳"</f>
        <v>曾春艳</v>
      </c>
      <c r="C2523" s="6" t="str">
        <f t="shared" si="116"/>
        <v>女</v>
      </c>
      <c r="D2523" s="6" t="str">
        <f>"202127014127"</f>
        <v>202127014127</v>
      </c>
      <c r="E2523" s="10" t="s">
        <v>27</v>
      </c>
      <c r="F2523" s="6" t="s">
        <v>9</v>
      </c>
      <c r="G2523" s="8">
        <v>66.2</v>
      </c>
      <c r="H2523" s="6"/>
    </row>
    <row r="2524" spans="1:8">
      <c r="A2524" s="5">
        <v>1797</v>
      </c>
      <c r="B2524" s="6" t="str">
        <f>"任俏燕"</f>
        <v>任俏燕</v>
      </c>
      <c r="C2524" s="6" t="str">
        <f t="shared" si="116"/>
        <v>女</v>
      </c>
      <c r="D2524" s="6" t="str">
        <f>"202127014128"</f>
        <v>202127014128</v>
      </c>
      <c r="E2524" s="10" t="s">
        <v>27</v>
      </c>
      <c r="F2524" s="6" t="s">
        <v>9</v>
      </c>
      <c r="G2524" s="8">
        <v>58.4</v>
      </c>
      <c r="H2524" s="6"/>
    </row>
    <row r="2525" spans="1:8">
      <c r="A2525" s="5">
        <v>1985</v>
      </c>
      <c r="B2525" s="6" t="str">
        <f>"黄筱琪"</f>
        <v>黄筱琪</v>
      </c>
      <c r="C2525" s="6" t="str">
        <f t="shared" si="116"/>
        <v>女</v>
      </c>
      <c r="D2525" s="6" t="str">
        <f>"202127014129"</f>
        <v>202127014129</v>
      </c>
      <c r="E2525" s="10" t="s">
        <v>27</v>
      </c>
      <c r="F2525" s="6" t="s">
        <v>9</v>
      </c>
      <c r="G2525" s="8">
        <v>49.35</v>
      </c>
      <c r="H2525" s="6"/>
    </row>
    <row r="2526" spans="1:8">
      <c r="A2526" s="5">
        <v>2164</v>
      </c>
      <c r="B2526" s="6" t="str">
        <f>"邓阿玲"</f>
        <v>邓阿玲</v>
      </c>
      <c r="C2526" s="6" t="str">
        <f t="shared" si="116"/>
        <v>女</v>
      </c>
      <c r="D2526" s="6" t="str">
        <f>"202127014130"</f>
        <v>202127014130</v>
      </c>
      <c r="E2526" s="10" t="s">
        <v>27</v>
      </c>
      <c r="F2526" s="6" t="s">
        <v>9</v>
      </c>
      <c r="G2526" s="8">
        <v>57.05</v>
      </c>
      <c r="H2526" s="6"/>
    </row>
    <row r="2527" spans="1:8">
      <c r="A2527" s="5">
        <v>1976</v>
      </c>
      <c r="B2527" s="6" t="str">
        <f>"胡淼虹"</f>
        <v>胡淼虹</v>
      </c>
      <c r="C2527" s="6" t="str">
        <f t="shared" si="116"/>
        <v>女</v>
      </c>
      <c r="D2527" s="6" t="str">
        <f>"202127014201"</f>
        <v>202127014201</v>
      </c>
      <c r="E2527" s="10" t="s">
        <v>27</v>
      </c>
      <c r="F2527" s="6" t="s">
        <v>9</v>
      </c>
      <c r="G2527" s="8">
        <v>65.55</v>
      </c>
      <c r="H2527" s="6"/>
    </row>
    <row r="2528" spans="1:8">
      <c r="A2528" s="5">
        <v>2342</v>
      </c>
      <c r="B2528" s="6" t="str">
        <f>"肖智丽"</f>
        <v>肖智丽</v>
      </c>
      <c r="C2528" s="6" t="str">
        <f t="shared" si="116"/>
        <v>女</v>
      </c>
      <c r="D2528" s="6" t="str">
        <f>"202127014202"</f>
        <v>202127014202</v>
      </c>
      <c r="E2528" s="10" t="s">
        <v>27</v>
      </c>
      <c r="F2528" s="6" t="s">
        <v>9</v>
      </c>
      <c r="G2528" s="8">
        <v>59</v>
      </c>
      <c r="H2528" s="6"/>
    </row>
    <row r="2529" spans="1:8">
      <c r="A2529" s="5">
        <v>1889</v>
      </c>
      <c r="B2529" s="6" t="str">
        <f>"郁翠微"</f>
        <v>郁翠微</v>
      </c>
      <c r="C2529" s="6" t="str">
        <f t="shared" si="116"/>
        <v>女</v>
      </c>
      <c r="D2529" s="6" t="str">
        <f>"202127014203"</f>
        <v>202127014203</v>
      </c>
      <c r="E2529" s="10" t="s">
        <v>27</v>
      </c>
      <c r="F2529" s="6" t="s">
        <v>9</v>
      </c>
      <c r="G2529" s="8">
        <v>58</v>
      </c>
      <c r="H2529" s="6"/>
    </row>
    <row r="2530" spans="1:8">
      <c r="A2530" s="5">
        <v>2048</v>
      </c>
      <c r="B2530" s="6" t="str">
        <f>"王小娟"</f>
        <v>王小娟</v>
      </c>
      <c r="C2530" s="6" t="str">
        <f t="shared" si="116"/>
        <v>女</v>
      </c>
      <c r="D2530" s="6" t="str">
        <f>"202127014204"</f>
        <v>202127014204</v>
      </c>
      <c r="E2530" s="10" t="s">
        <v>27</v>
      </c>
      <c r="F2530" s="6" t="s">
        <v>9</v>
      </c>
      <c r="G2530" s="8">
        <v>74.650000000000006</v>
      </c>
      <c r="H2530" s="6"/>
    </row>
    <row r="2531" spans="1:8">
      <c r="A2531" s="5">
        <v>2102</v>
      </c>
      <c r="B2531" s="6" t="str">
        <f>"卢淑兰"</f>
        <v>卢淑兰</v>
      </c>
      <c r="C2531" s="6" t="str">
        <f t="shared" si="116"/>
        <v>女</v>
      </c>
      <c r="D2531" s="6" t="str">
        <f>"202127014205"</f>
        <v>202127014205</v>
      </c>
      <c r="E2531" s="10" t="s">
        <v>27</v>
      </c>
      <c r="F2531" s="6" t="s">
        <v>9</v>
      </c>
      <c r="G2531" s="8">
        <v>54.15</v>
      </c>
      <c r="H2531" s="6"/>
    </row>
    <row r="2532" spans="1:8">
      <c r="A2532" s="5">
        <v>2309</v>
      </c>
      <c r="B2532" s="6" t="str">
        <f>"何怡兰"</f>
        <v>何怡兰</v>
      </c>
      <c r="C2532" s="6" t="str">
        <f t="shared" si="116"/>
        <v>女</v>
      </c>
      <c r="D2532" s="6" t="str">
        <f>"202127014206"</f>
        <v>202127014206</v>
      </c>
      <c r="E2532" s="10" t="s">
        <v>27</v>
      </c>
      <c r="F2532" s="6" t="s">
        <v>9</v>
      </c>
      <c r="G2532" s="8">
        <v>60.45</v>
      </c>
      <c r="H2532" s="6"/>
    </row>
    <row r="2533" spans="1:8">
      <c r="A2533" s="5">
        <v>2327</v>
      </c>
      <c r="B2533" s="6" t="str">
        <f>"李容"</f>
        <v>李容</v>
      </c>
      <c r="C2533" s="6" t="str">
        <f t="shared" si="116"/>
        <v>女</v>
      </c>
      <c r="D2533" s="6" t="str">
        <f>"202127014207"</f>
        <v>202127014207</v>
      </c>
      <c r="E2533" s="10" t="s">
        <v>27</v>
      </c>
      <c r="F2533" s="6" t="s">
        <v>9</v>
      </c>
      <c r="G2533" s="8">
        <v>38.9</v>
      </c>
      <c r="H2533" s="6"/>
    </row>
    <row r="2534" spans="1:8">
      <c r="A2534" s="5">
        <v>2005</v>
      </c>
      <c r="B2534" s="6" t="str">
        <f>"黄丹林"</f>
        <v>黄丹林</v>
      </c>
      <c r="C2534" s="6" t="str">
        <f t="shared" si="116"/>
        <v>女</v>
      </c>
      <c r="D2534" s="6" t="str">
        <f>"202127014208"</f>
        <v>202127014208</v>
      </c>
      <c r="E2534" s="10" t="s">
        <v>27</v>
      </c>
      <c r="F2534" s="6" t="s">
        <v>9</v>
      </c>
      <c r="G2534" s="8">
        <v>65.2</v>
      </c>
      <c r="H2534" s="6"/>
    </row>
    <row r="2535" spans="1:8">
      <c r="A2535" s="5">
        <v>1891</v>
      </c>
      <c r="B2535" s="6" t="str">
        <f>"钱丹"</f>
        <v>钱丹</v>
      </c>
      <c r="C2535" s="6" t="str">
        <f t="shared" si="116"/>
        <v>女</v>
      </c>
      <c r="D2535" s="6" t="str">
        <f>"202127014209"</f>
        <v>202127014209</v>
      </c>
      <c r="E2535" s="10" t="s">
        <v>27</v>
      </c>
      <c r="F2535" s="6" t="s">
        <v>9</v>
      </c>
      <c r="G2535" s="8">
        <v>66.25</v>
      </c>
      <c r="H2535" s="6"/>
    </row>
    <row r="2536" spans="1:8">
      <c r="A2536" s="5">
        <v>2157</v>
      </c>
      <c r="B2536" s="6" t="str">
        <f>"全冬兰"</f>
        <v>全冬兰</v>
      </c>
      <c r="C2536" s="6" t="str">
        <f t="shared" si="116"/>
        <v>女</v>
      </c>
      <c r="D2536" s="6" t="str">
        <f>"202127014210"</f>
        <v>202127014210</v>
      </c>
      <c r="E2536" s="10" t="s">
        <v>27</v>
      </c>
      <c r="F2536" s="6" t="s">
        <v>9</v>
      </c>
      <c r="G2536" s="8">
        <v>46.1</v>
      </c>
      <c r="H2536" s="6"/>
    </row>
    <row r="2537" spans="1:8">
      <c r="A2537" s="5">
        <v>2339</v>
      </c>
      <c r="B2537" s="6" t="str">
        <f>"魏琴"</f>
        <v>魏琴</v>
      </c>
      <c r="C2537" s="6" t="str">
        <f t="shared" si="116"/>
        <v>女</v>
      </c>
      <c r="D2537" s="6" t="str">
        <f>"202127014211"</f>
        <v>202127014211</v>
      </c>
      <c r="E2537" s="10" t="s">
        <v>27</v>
      </c>
      <c r="F2537" s="6" t="s">
        <v>9</v>
      </c>
      <c r="G2537" s="8">
        <v>58</v>
      </c>
      <c r="H2537" s="6"/>
    </row>
    <row r="2538" spans="1:8">
      <c r="A2538" s="5">
        <v>2347</v>
      </c>
      <c r="B2538" s="6" t="str">
        <f>"聂佳琳"</f>
        <v>聂佳琳</v>
      </c>
      <c r="C2538" s="6" t="str">
        <f t="shared" si="116"/>
        <v>女</v>
      </c>
      <c r="D2538" s="6" t="str">
        <f>"202127014212"</f>
        <v>202127014212</v>
      </c>
      <c r="E2538" s="10" t="s">
        <v>27</v>
      </c>
      <c r="F2538" s="6" t="s">
        <v>9</v>
      </c>
      <c r="G2538" s="8">
        <v>52.3</v>
      </c>
      <c r="H2538" s="6"/>
    </row>
    <row r="2539" spans="1:8">
      <c r="A2539" s="5">
        <v>2019</v>
      </c>
      <c r="B2539" s="6" t="str">
        <f>"杨阳"</f>
        <v>杨阳</v>
      </c>
      <c r="C2539" s="6" t="str">
        <f t="shared" si="116"/>
        <v>女</v>
      </c>
      <c r="D2539" s="6" t="str">
        <f>"202127014213"</f>
        <v>202127014213</v>
      </c>
      <c r="E2539" s="10" t="s">
        <v>27</v>
      </c>
      <c r="F2539" s="6" t="s">
        <v>9</v>
      </c>
      <c r="G2539" s="8">
        <v>40.6</v>
      </c>
      <c r="H2539" s="6"/>
    </row>
    <row r="2540" spans="1:8">
      <c r="A2540" s="5">
        <v>2344</v>
      </c>
      <c r="B2540" s="6" t="str">
        <f>"刘佳丽"</f>
        <v>刘佳丽</v>
      </c>
      <c r="C2540" s="6" t="str">
        <f t="shared" ref="C2540:C2571" si="117">"女"</f>
        <v>女</v>
      </c>
      <c r="D2540" s="6" t="str">
        <f>"202127014214"</f>
        <v>202127014214</v>
      </c>
      <c r="E2540" s="10" t="s">
        <v>27</v>
      </c>
      <c r="F2540" s="6" t="s">
        <v>9</v>
      </c>
      <c r="G2540" s="8">
        <v>44.2</v>
      </c>
      <c r="H2540" s="6"/>
    </row>
    <row r="2541" spans="1:8">
      <c r="A2541" s="5">
        <v>2206</v>
      </c>
      <c r="B2541" s="6" t="str">
        <f>"尹丽华"</f>
        <v>尹丽华</v>
      </c>
      <c r="C2541" s="6" t="str">
        <f t="shared" si="117"/>
        <v>女</v>
      </c>
      <c r="D2541" s="6" t="str">
        <f>"202127014215"</f>
        <v>202127014215</v>
      </c>
      <c r="E2541" s="10" t="s">
        <v>27</v>
      </c>
      <c r="F2541" s="6" t="s">
        <v>9</v>
      </c>
      <c r="G2541" s="8">
        <v>60.65</v>
      </c>
      <c r="H2541" s="6"/>
    </row>
    <row r="2542" spans="1:8">
      <c r="A2542" s="5">
        <v>2234</v>
      </c>
      <c r="B2542" s="6" t="str">
        <f>"李佳"</f>
        <v>李佳</v>
      </c>
      <c r="C2542" s="6" t="str">
        <f t="shared" si="117"/>
        <v>女</v>
      </c>
      <c r="D2542" s="6" t="str">
        <f>"202127014216"</f>
        <v>202127014216</v>
      </c>
      <c r="E2542" s="10" t="s">
        <v>27</v>
      </c>
      <c r="F2542" s="6" t="s">
        <v>9</v>
      </c>
      <c r="G2542" s="8">
        <v>52.9</v>
      </c>
      <c r="H2542" s="6"/>
    </row>
    <row r="2543" spans="1:8">
      <c r="A2543" s="5">
        <v>2276</v>
      </c>
      <c r="B2543" s="6" t="str">
        <f>"杨春红"</f>
        <v>杨春红</v>
      </c>
      <c r="C2543" s="6" t="str">
        <f t="shared" si="117"/>
        <v>女</v>
      </c>
      <c r="D2543" s="6" t="str">
        <f>"202127014217"</f>
        <v>202127014217</v>
      </c>
      <c r="E2543" s="10" t="s">
        <v>27</v>
      </c>
      <c r="F2543" s="6" t="s">
        <v>9</v>
      </c>
      <c r="G2543" s="8">
        <v>51.15</v>
      </c>
      <c r="H2543" s="6"/>
    </row>
    <row r="2544" spans="1:8">
      <c r="A2544" s="5">
        <v>1811</v>
      </c>
      <c r="B2544" s="6" t="str">
        <f>"李玉琪"</f>
        <v>李玉琪</v>
      </c>
      <c r="C2544" s="6" t="str">
        <f t="shared" si="117"/>
        <v>女</v>
      </c>
      <c r="D2544" s="6" t="str">
        <f>"202127014218"</f>
        <v>202127014218</v>
      </c>
      <c r="E2544" s="10" t="s">
        <v>27</v>
      </c>
      <c r="F2544" s="6" t="s">
        <v>9</v>
      </c>
      <c r="G2544" s="8">
        <v>56.8</v>
      </c>
      <c r="H2544" s="6"/>
    </row>
    <row r="2545" spans="1:8">
      <c r="A2545" s="5">
        <v>1765</v>
      </c>
      <c r="B2545" s="6" t="str">
        <f>"何江"</f>
        <v>何江</v>
      </c>
      <c r="C2545" s="6" t="str">
        <f t="shared" si="117"/>
        <v>女</v>
      </c>
      <c r="D2545" s="6" t="str">
        <f>"202127014219"</f>
        <v>202127014219</v>
      </c>
      <c r="E2545" s="10" t="s">
        <v>27</v>
      </c>
      <c r="F2545" s="6" t="s">
        <v>9</v>
      </c>
      <c r="G2545" s="8">
        <v>0</v>
      </c>
      <c r="H2545" s="9">
        <v>1</v>
      </c>
    </row>
    <row r="2546" spans="1:8">
      <c r="A2546" s="5">
        <v>2434</v>
      </c>
      <c r="B2546" s="6" t="str">
        <f>"陈倩"</f>
        <v>陈倩</v>
      </c>
      <c r="C2546" s="6" t="str">
        <f t="shared" si="117"/>
        <v>女</v>
      </c>
      <c r="D2546" s="6" t="str">
        <f>"202127014220"</f>
        <v>202127014220</v>
      </c>
      <c r="E2546" s="10" t="s">
        <v>27</v>
      </c>
      <c r="F2546" s="6" t="s">
        <v>9</v>
      </c>
      <c r="G2546" s="8">
        <v>58.5</v>
      </c>
      <c r="H2546" s="6"/>
    </row>
    <row r="2547" spans="1:8">
      <c r="A2547" s="5">
        <v>2111</v>
      </c>
      <c r="B2547" s="6" t="str">
        <f>"刘惠"</f>
        <v>刘惠</v>
      </c>
      <c r="C2547" s="6" t="str">
        <f t="shared" si="117"/>
        <v>女</v>
      </c>
      <c r="D2547" s="6" t="str">
        <f>"202127014221"</f>
        <v>202127014221</v>
      </c>
      <c r="E2547" s="10" t="s">
        <v>27</v>
      </c>
      <c r="F2547" s="6" t="s">
        <v>9</v>
      </c>
      <c r="G2547" s="8">
        <v>66.650000000000006</v>
      </c>
      <c r="H2547" s="6"/>
    </row>
    <row r="2548" spans="1:8">
      <c r="A2548" s="5">
        <v>2269</v>
      </c>
      <c r="B2548" s="6" t="str">
        <f>"罗丹"</f>
        <v>罗丹</v>
      </c>
      <c r="C2548" s="6" t="str">
        <f t="shared" si="117"/>
        <v>女</v>
      </c>
      <c r="D2548" s="6" t="str">
        <f>"202127014222"</f>
        <v>202127014222</v>
      </c>
      <c r="E2548" s="10" t="s">
        <v>27</v>
      </c>
      <c r="F2548" s="6" t="s">
        <v>9</v>
      </c>
      <c r="G2548" s="8">
        <v>52.45</v>
      </c>
      <c r="H2548" s="6"/>
    </row>
    <row r="2549" spans="1:8">
      <c r="A2549" s="5">
        <v>1823</v>
      </c>
      <c r="B2549" s="6" t="str">
        <f>"肖琴"</f>
        <v>肖琴</v>
      </c>
      <c r="C2549" s="6" t="str">
        <f t="shared" si="117"/>
        <v>女</v>
      </c>
      <c r="D2549" s="6" t="str">
        <f>"202127014223"</f>
        <v>202127014223</v>
      </c>
      <c r="E2549" s="10" t="s">
        <v>27</v>
      </c>
      <c r="F2549" s="6" t="s">
        <v>9</v>
      </c>
      <c r="G2549" s="8">
        <v>59.1</v>
      </c>
      <c r="H2549" s="6"/>
    </row>
    <row r="2550" spans="1:8">
      <c r="A2550" s="5">
        <v>2246</v>
      </c>
      <c r="B2550" s="6" t="str">
        <f>"黄颖"</f>
        <v>黄颖</v>
      </c>
      <c r="C2550" s="6" t="str">
        <f t="shared" si="117"/>
        <v>女</v>
      </c>
      <c r="D2550" s="6" t="str">
        <f>"202127014224"</f>
        <v>202127014224</v>
      </c>
      <c r="E2550" s="10" t="s">
        <v>27</v>
      </c>
      <c r="F2550" s="6" t="s">
        <v>9</v>
      </c>
      <c r="G2550" s="8">
        <v>50.05</v>
      </c>
      <c r="H2550" s="6"/>
    </row>
    <row r="2551" spans="1:8">
      <c r="A2551" s="5">
        <v>1785</v>
      </c>
      <c r="B2551" s="6" t="str">
        <f>"陆丹"</f>
        <v>陆丹</v>
      </c>
      <c r="C2551" s="6" t="str">
        <f t="shared" si="117"/>
        <v>女</v>
      </c>
      <c r="D2551" s="6" t="str">
        <f>"202127014225"</f>
        <v>202127014225</v>
      </c>
      <c r="E2551" s="10" t="s">
        <v>27</v>
      </c>
      <c r="F2551" s="6" t="s">
        <v>9</v>
      </c>
      <c r="G2551" s="8">
        <v>0</v>
      </c>
      <c r="H2551" s="9">
        <v>1</v>
      </c>
    </row>
    <row r="2552" spans="1:8">
      <c r="A2552" s="5">
        <v>2145</v>
      </c>
      <c r="B2552" s="6" t="str">
        <f>"高丽"</f>
        <v>高丽</v>
      </c>
      <c r="C2552" s="6" t="str">
        <f t="shared" si="117"/>
        <v>女</v>
      </c>
      <c r="D2552" s="6" t="str">
        <f>"202127014226"</f>
        <v>202127014226</v>
      </c>
      <c r="E2552" s="10" t="s">
        <v>27</v>
      </c>
      <c r="F2552" s="6" t="s">
        <v>9</v>
      </c>
      <c r="G2552" s="8">
        <v>35.4</v>
      </c>
      <c r="H2552" s="6"/>
    </row>
    <row r="2553" spans="1:8">
      <c r="A2553" s="5">
        <v>1921</v>
      </c>
      <c r="B2553" s="6" t="str">
        <f>"谭阳阳"</f>
        <v>谭阳阳</v>
      </c>
      <c r="C2553" s="6" t="str">
        <f t="shared" si="117"/>
        <v>女</v>
      </c>
      <c r="D2553" s="6" t="str">
        <f>"202127014227"</f>
        <v>202127014227</v>
      </c>
      <c r="E2553" s="10" t="s">
        <v>27</v>
      </c>
      <c r="F2553" s="6" t="s">
        <v>9</v>
      </c>
      <c r="G2553" s="8">
        <v>61.15</v>
      </c>
      <c r="H2553" s="6"/>
    </row>
    <row r="2554" spans="1:8">
      <c r="A2554" s="5">
        <v>2304</v>
      </c>
      <c r="B2554" s="6" t="str">
        <f>"朱阳丽"</f>
        <v>朱阳丽</v>
      </c>
      <c r="C2554" s="6" t="str">
        <f t="shared" si="117"/>
        <v>女</v>
      </c>
      <c r="D2554" s="6" t="str">
        <f>"202127014228"</f>
        <v>202127014228</v>
      </c>
      <c r="E2554" s="10" t="s">
        <v>27</v>
      </c>
      <c r="F2554" s="6" t="s">
        <v>9</v>
      </c>
      <c r="G2554" s="8">
        <v>51.35</v>
      </c>
      <c r="H2554" s="6"/>
    </row>
    <row r="2555" spans="1:8">
      <c r="A2555" s="5">
        <v>2044</v>
      </c>
      <c r="B2555" s="6" t="str">
        <f>"黄佳敏"</f>
        <v>黄佳敏</v>
      </c>
      <c r="C2555" s="6" t="str">
        <f t="shared" si="117"/>
        <v>女</v>
      </c>
      <c r="D2555" s="6" t="str">
        <f>"202127014229"</f>
        <v>202127014229</v>
      </c>
      <c r="E2555" s="10" t="s">
        <v>27</v>
      </c>
      <c r="F2555" s="6" t="s">
        <v>9</v>
      </c>
      <c r="G2555" s="8">
        <v>61.45</v>
      </c>
      <c r="H2555" s="6"/>
    </row>
    <row r="2556" spans="1:8">
      <c r="A2556" s="5">
        <v>2242</v>
      </c>
      <c r="B2556" s="6" t="str">
        <f>"肖艳雯"</f>
        <v>肖艳雯</v>
      </c>
      <c r="C2556" s="6" t="str">
        <f t="shared" si="117"/>
        <v>女</v>
      </c>
      <c r="D2556" s="6" t="str">
        <f>"202127014230"</f>
        <v>202127014230</v>
      </c>
      <c r="E2556" s="10" t="s">
        <v>27</v>
      </c>
      <c r="F2556" s="6" t="s">
        <v>9</v>
      </c>
      <c r="G2556" s="8">
        <v>57.15</v>
      </c>
      <c r="H2556" s="6"/>
    </row>
    <row r="2557" spans="1:8">
      <c r="A2557" s="5">
        <v>1967</v>
      </c>
      <c r="B2557" s="6" t="str">
        <f>"戴为为"</f>
        <v>戴为为</v>
      </c>
      <c r="C2557" s="6" t="str">
        <f t="shared" si="117"/>
        <v>女</v>
      </c>
      <c r="D2557" s="6" t="str">
        <f>"202127014301"</f>
        <v>202127014301</v>
      </c>
      <c r="E2557" s="10" t="s">
        <v>27</v>
      </c>
      <c r="F2557" s="6" t="s">
        <v>9</v>
      </c>
      <c r="G2557" s="8">
        <v>57.7</v>
      </c>
      <c r="H2557" s="6"/>
    </row>
    <row r="2558" spans="1:8">
      <c r="A2558" s="5">
        <v>2113</v>
      </c>
      <c r="B2558" s="6" t="str">
        <f>"姜琴"</f>
        <v>姜琴</v>
      </c>
      <c r="C2558" s="6" t="str">
        <f t="shared" si="117"/>
        <v>女</v>
      </c>
      <c r="D2558" s="6" t="str">
        <f>"202127014302"</f>
        <v>202127014302</v>
      </c>
      <c r="E2558" s="10" t="s">
        <v>27</v>
      </c>
      <c r="F2558" s="6" t="s">
        <v>9</v>
      </c>
      <c r="G2558" s="8">
        <v>52.65</v>
      </c>
      <c r="H2558" s="6"/>
    </row>
    <row r="2559" spans="1:8">
      <c r="A2559" s="5">
        <v>2280</v>
      </c>
      <c r="B2559" s="6" t="str">
        <f>"孙汝瑶"</f>
        <v>孙汝瑶</v>
      </c>
      <c r="C2559" s="6" t="str">
        <f t="shared" si="117"/>
        <v>女</v>
      </c>
      <c r="D2559" s="6" t="str">
        <f>"202127014303"</f>
        <v>202127014303</v>
      </c>
      <c r="E2559" s="10" t="s">
        <v>27</v>
      </c>
      <c r="F2559" s="6" t="s">
        <v>9</v>
      </c>
      <c r="G2559" s="8">
        <v>62.3</v>
      </c>
      <c r="H2559" s="6"/>
    </row>
    <row r="2560" spans="1:8">
      <c r="A2560" s="5">
        <v>2160</v>
      </c>
      <c r="B2560" s="6" t="str">
        <f>"朱莹谘"</f>
        <v>朱莹谘</v>
      </c>
      <c r="C2560" s="6" t="str">
        <f t="shared" si="117"/>
        <v>女</v>
      </c>
      <c r="D2560" s="6" t="str">
        <f>"202127014304"</f>
        <v>202127014304</v>
      </c>
      <c r="E2560" s="10" t="s">
        <v>27</v>
      </c>
      <c r="F2560" s="6" t="s">
        <v>9</v>
      </c>
      <c r="G2560" s="8">
        <v>53.85</v>
      </c>
      <c r="H2560" s="6"/>
    </row>
    <row r="2561" spans="1:8">
      <c r="A2561" s="5">
        <v>1939</v>
      </c>
      <c r="B2561" s="6" t="str">
        <f>"王卓"</f>
        <v>王卓</v>
      </c>
      <c r="C2561" s="6" t="str">
        <f t="shared" si="117"/>
        <v>女</v>
      </c>
      <c r="D2561" s="6" t="str">
        <f>"202127014305"</f>
        <v>202127014305</v>
      </c>
      <c r="E2561" s="10" t="s">
        <v>27</v>
      </c>
      <c r="F2561" s="6" t="s">
        <v>9</v>
      </c>
      <c r="G2561" s="8">
        <v>50.55</v>
      </c>
      <c r="H2561" s="6"/>
    </row>
    <row r="2562" spans="1:8">
      <c r="A2562" s="5">
        <v>1842</v>
      </c>
      <c r="B2562" s="6" t="str">
        <f>"龙霞"</f>
        <v>龙霞</v>
      </c>
      <c r="C2562" s="6" t="str">
        <f t="shared" si="117"/>
        <v>女</v>
      </c>
      <c r="D2562" s="6" t="str">
        <f>"202127014306"</f>
        <v>202127014306</v>
      </c>
      <c r="E2562" s="10" t="s">
        <v>27</v>
      </c>
      <c r="F2562" s="6" t="s">
        <v>9</v>
      </c>
      <c r="G2562" s="8">
        <v>60.85</v>
      </c>
      <c r="H2562" s="6"/>
    </row>
    <row r="2563" spans="1:8">
      <c r="A2563" s="5">
        <v>1897</v>
      </c>
      <c r="B2563" s="6" t="str">
        <f>"宋响伶"</f>
        <v>宋响伶</v>
      </c>
      <c r="C2563" s="6" t="str">
        <f t="shared" si="117"/>
        <v>女</v>
      </c>
      <c r="D2563" s="6" t="str">
        <f>"202127014307"</f>
        <v>202127014307</v>
      </c>
      <c r="E2563" s="10" t="s">
        <v>27</v>
      </c>
      <c r="F2563" s="6" t="s">
        <v>9</v>
      </c>
      <c r="G2563" s="8">
        <v>57.1</v>
      </c>
      <c r="H2563" s="6"/>
    </row>
    <row r="2564" spans="1:8">
      <c r="A2564" s="5">
        <v>1854</v>
      </c>
      <c r="B2564" s="6" t="str">
        <f>"田玉娟"</f>
        <v>田玉娟</v>
      </c>
      <c r="C2564" s="6" t="str">
        <f t="shared" si="117"/>
        <v>女</v>
      </c>
      <c r="D2564" s="6" t="str">
        <f>"202127014308"</f>
        <v>202127014308</v>
      </c>
      <c r="E2564" s="10" t="s">
        <v>27</v>
      </c>
      <c r="F2564" s="6" t="s">
        <v>9</v>
      </c>
      <c r="G2564" s="8">
        <v>48.3</v>
      </c>
      <c r="H2564" s="6"/>
    </row>
    <row r="2565" spans="1:8">
      <c r="A2565" s="5">
        <v>1802</v>
      </c>
      <c r="B2565" s="6" t="str">
        <f>"田芳艳"</f>
        <v>田芳艳</v>
      </c>
      <c r="C2565" s="6" t="str">
        <f t="shared" si="117"/>
        <v>女</v>
      </c>
      <c r="D2565" s="6" t="str">
        <f>"202127014309"</f>
        <v>202127014309</v>
      </c>
      <c r="E2565" s="10" t="s">
        <v>27</v>
      </c>
      <c r="F2565" s="6" t="s">
        <v>9</v>
      </c>
      <c r="G2565" s="8">
        <v>55.35</v>
      </c>
      <c r="H2565" s="6"/>
    </row>
    <row r="2566" spans="1:8">
      <c r="A2566" s="5">
        <v>2437</v>
      </c>
      <c r="B2566" s="6" t="str">
        <f>"宋萍"</f>
        <v>宋萍</v>
      </c>
      <c r="C2566" s="6" t="str">
        <f t="shared" si="117"/>
        <v>女</v>
      </c>
      <c r="D2566" s="6" t="str">
        <f>"202127014310"</f>
        <v>202127014310</v>
      </c>
      <c r="E2566" s="10" t="s">
        <v>27</v>
      </c>
      <c r="F2566" s="6" t="s">
        <v>9</v>
      </c>
      <c r="G2566" s="8">
        <v>50.7</v>
      </c>
      <c r="H2566" s="6"/>
    </row>
    <row r="2567" spans="1:8">
      <c r="A2567" s="5">
        <v>2207</v>
      </c>
      <c r="B2567" s="6" t="str">
        <f>"彭戴兰"</f>
        <v>彭戴兰</v>
      </c>
      <c r="C2567" s="6" t="str">
        <f t="shared" si="117"/>
        <v>女</v>
      </c>
      <c r="D2567" s="6" t="str">
        <f>"202127014311"</f>
        <v>202127014311</v>
      </c>
      <c r="E2567" s="10" t="s">
        <v>27</v>
      </c>
      <c r="F2567" s="6" t="s">
        <v>9</v>
      </c>
      <c r="G2567" s="8">
        <v>43.8</v>
      </c>
      <c r="H2567" s="6"/>
    </row>
    <row r="2568" spans="1:8">
      <c r="A2568" s="5">
        <v>1958</v>
      </c>
      <c r="B2568" s="6" t="str">
        <f>"唐腾"</f>
        <v>唐腾</v>
      </c>
      <c r="C2568" s="6" t="str">
        <f t="shared" si="117"/>
        <v>女</v>
      </c>
      <c r="D2568" s="6" t="str">
        <f>"202127014312"</f>
        <v>202127014312</v>
      </c>
      <c r="E2568" s="10" t="s">
        <v>27</v>
      </c>
      <c r="F2568" s="6" t="s">
        <v>9</v>
      </c>
      <c r="G2568" s="8">
        <v>55.75</v>
      </c>
      <c r="H2568" s="6"/>
    </row>
    <row r="2569" spans="1:8">
      <c r="A2569" s="5">
        <v>2389</v>
      </c>
      <c r="B2569" s="6" t="str">
        <f>"张丽华"</f>
        <v>张丽华</v>
      </c>
      <c r="C2569" s="6" t="str">
        <f t="shared" si="117"/>
        <v>女</v>
      </c>
      <c r="D2569" s="6" t="str">
        <f>"202127014313"</f>
        <v>202127014313</v>
      </c>
      <c r="E2569" s="10" t="s">
        <v>27</v>
      </c>
      <c r="F2569" s="6" t="s">
        <v>9</v>
      </c>
      <c r="G2569" s="8">
        <v>60.85</v>
      </c>
      <c r="H2569" s="6"/>
    </row>
    <row r="2570" spans="1:8">
      <c r="A2570" s="5">
        <v>2181</v>
      </c>
      <c r="B2570" s="6" t="str">
        <f>"戴珂"</f>
        <v>戴珂</v>
      </c>
      <c r="C2570" s="6" t="str">
        <f t="shared" si="117"/>
        <v>女</v>
      </c>
      <c r="D2570" s="6" t="str">
        <f>"202127014314"</f>
        <v>202127014314</v>
      </c>
      <c r="E2570" s="10" t="s">
        <v>27</v>
      </c>
      <c r="F2570" s="6" t="s">
        <v>9</v>
      </c>
      <c r="G2570" s="8">
        <v>63.7</v>
      </c>
      <c r="H2570" s="6"/>
    </row>
    <row r="2571" spans="1:8">
      <c r="A2571" s="5">
        <v>2331</v>
      </c>
      <c r="B2571" s="6" t="str">
        <f>"陈佳"</f>
        <v>陈佳</v>
      </c>
      <c r="C2571" s="6" t="str">
        <f t="shared" si="117"/>
        <v>女</v>
      </c>
      <c r="D2571" s="6" t="str">
        <f>"202127014315"</f>
        <v>202127014315</v>
      </c>
      <c r="E2571" s="10" t="s">
        <v>27</v>
      </c>
      <c r="F2571" s="6" t="s">
        <v>9</v>
      </c>
      <c r="G2571" s="8">
        <v>56</v>
      </c>
      <c r="H2571" s="6"/>
    </row>
    <row r="2572" spans="1:8">
      <c r="A2572" s="5">
        <v>2225</v>
      </c>
      <c r="B2572" s="6" t="str">
        <f>"李依依"</f>
        <v>李依依</v>
      </c>
      <c r="C2572" s="6" t="str">
        <f t="shared" ref="C2572:C2593" si="118">"女"</f>
        <v>女</v>
      </c>
      <c r="D2572" s="6" t="str">
        <f>"202127014316"</f>
        <v>202127014316</v>
      </c>
      <c r="E2572" s="10" t="s">
        <v>27</v>
      </c>
      <c r="F2572" s="6" t="s">
        <v>9</v>
      </c>
      <c r="G2572" s="8">
        <v>56.9</v>
      </c>
      <c r="H2572" s="6"/>
    </row>
    <row r="2573" spans="1:8">
      <c r="A2573" s="5">
        <v>2288</v>
      </c>
      <c r="B2573" s="6" t="str">
        <f>"肖湘一"</f>
        <v>肖湘一</v>
      </c>
      <c r="C2573" s="6" t="str">
        <f t="shared" si="118"/>
        <v>女</v>
      </c>
      <c r="D2573" s="6" t="str">
        <f>"202127014317"</f>
        <v>202127014317</v>
      </c>
      <c r="E2573" s="10" t="s">
        <v>27</v>
      </c>
      <c r="F2573" s="6" t="s">
        <v>9</v>
      </c>
      <c r="G2573" s="8">
        <v>59.15</v>
      </c>
      <c r="H2573" s="6"/>
    </row>
    <row r="2574" spans="1:8">
      <c r="A2574" s="5">
        <v>2236</v>
      </c>
      <c r="B2574" s="6" t="str">
        <f>"肖佳敏"</f>
        <v>肖佳敏</v>
      </c>
      <c r="C2574" s="6" t="str">
        <f t="shared" si="118"/>
        <v>女</v>
      </c>
      <c r="D2574" s="6" t="str">
        <f>"202127014318"</f>
        <v>202127014318</v>
      </c>
      <c r="E2574" s="10" t="s">
        <v>27</v>
      </c>
      <c r="F2574" s="6" t="s">
        <v>9</v>
      </c>
      <c r="G2574" s="8">
        <v>60.25</v>
      </c>
      <c r="H2574" s="6"/>
    </row>
    <row r="2575" spans="1:8">
      <c r="A2575" s="5">
        <v>2365</v>
      </c>
      <c r="B2575" s="6" t="str">
        <f>"唐思琪"</f>
        <v>唐思琪</v>
      </c>
      <c r="C2575" s="6" t="str">
        <f t="shared" si="118"/>
        <v>女</v>
      </c>
      <c r="D2575" s="6" t="str">
        <f>"202127014319"</f>
        <v>202127014319</v>
      </c>
      <c r="E2575" s="10" t="s">
        <v>27</v>
      </c>
      <c r="F2575" s="6" t="s">
        <v>9</v>
      </c>
      <c r="G2575" s="8">
        <v>62.05</v>
      </c>
      <c r="H2575" s="6"/>
    </row>
    <row r="2576" spans="1:8">
      <c r="A2576" s="5">
        <v>2098</v>
      </c>
      <c r="B2576" s="6" t="str">
        <f>"姜峥"</f>
        <v>姜峥</v>
      </c>
      <c r="C2576" s="6" t="str">
        <f t="shared" si="118"/>
        <v>女</v>
      </c>
      <c r="D2576" s="6" t="str">
        <f>"202127014320"</f>
        <v>202127014320</v>
      </c>
      <c r="E2576" s="10" t="s">
        <v>27</v>
      </c>
      <c r="F2576" s="6" t="s">
        <v>9</v>
      </c>
      <c r="G2576" s="8">
        <v>0</v>
      </c>
      <c r="H2576" s="9">
        <v>1</v>
      </c>
    </row>
    <row r="2577" spans="1:8">
      <c r="A2577" s="5">
        <v>2112</v>
      </c>
      <c r="B2577" s="6" t="str">
        <f>"曾玮霞"</f>
        <v>曾玮霞</v>
      </c>
      <c r="C2577" s="6" t="str">
        <f t="shared" si="118"/>
        <v>女</v>
      </c>
      <c r="D2577" s="6" t="str">
        <f>"202127014321"</f>
        <v>202127014321</v>
      </c>
      <c r="E2577" s="10" t="s">
        <v>27</v>
      </c>
      <c r="F2577" s="6" t="s">
        <v>9</v>
      </c>
      <c r="G2577" s="8">
        <v>61.5</v>
      </c>
      <c r="H2577" s="6"/>
    </row>
    <row r="2578" spans="1:8">
      <c r="A2578" s="5">
        <v>1991</v>
      </c>
      <c r="B2578" s="6" t="str">
        <f>"罗玲玉"</f>
        <v>罗玲玉</v>
      </c>
      <c r="C2578" s="6" t="str">
        <f t="shared" si="118"/>
        <v>女</v>
      </c>
      <c r="D2578" s="6" t="str">
        <f>"202127014322"</f>
        <v>202127014322</v>
      </c>
      <c r="E2578" s="10" t="s">
        <v>27</v>
      </c>
      <c r="F2578" s="6" t="s">
        <v>9</v>
      </c>
      <c r="G2578" s="8">
        <v>61.3</v>
      </c>
      <c r="H2578" s="6"/>
    </row>
    <row r="2579" spans="1:8">
      <c r="A2579" s="5">
        <v>1906</v>
      </c>
      <c r="B2579" s="6" t="str">
        <f>"李宏莉"</f>
        <v>李宏莉</v>
      </c>
      <c r="C2579" s="6" t="str">
        <f t="shared" si="118"/>
        <v>女</v>
      </c>
      <c r="D2579" s="6" t="str">
        <f>"202127014323"</f>
        <v>202127014323</v>
      </c>
      <c r="E2579" s="10" t="s">
        <v>27</v>
      </c>
      <c r="F2579" s="6" t="s">
        <v>9</v>
      </c>
      <c r="G2579" s="8">
        <v>64.2</v>
      </c>
      <c r="H2579" s="6"/>
    </row>
    <row r="2580" spans="1:8">
      <c r="A2580" s="5">
        <v>1909</v>
      </c>
      <c r="B2580" s="6" t="str">
        <f>"邓莉"</f>
        <v>邓莉</v>
      </c>
      <c r="C2580" s="6" t="str">
        <f t="shared" si="118"/>
        <v>女</v>
      </c>
      <c r="D2580" s="6" t="str">
        <f>"202127014324"</f>
        <v>202127014324</v>
      </c>
      <c r="E2580" s="10" t="s">
        <v>27</v>
      </c>
      <c r="F2580" s="6" t="s">
        <v>9</v>
      </c>
      <c r="G2580" s="8">
        <v>58.85</v>
      </c>
      <c r="H2580" s="6"/>
    </row>
    <row r="2581" spans="1:8">
      <c r="A2581" s="5">
        <v>2318</v>
      </c>
      <c r="B2581" s="6" t="str">
        <f>"朱敏"</f>
        <v>朱敏</v>
      </c>
      <c r="C2581" s="6" t="str">
        <f t="shared" si="118"/>
        <v>女</v>
      </c>
      <c r="D2581" s="6" t="str">
        <f>"202127014325"</f>
        <v>202127014325</v>
      </c>
      <c r="E2581" s="10" t="s">
        <v>27</v>
      </c>
      <c r="F2581" s="6" t="s">
        <v>9</v>
      </c>
      <c r="G2581" s="8">
        <v>53.95</v>
      </c>
      <c r="H2581" s="6"/>
    </row>
    <row r="2582" spans="1:8">
      <c r="A2582" s="5">
        <v>2300</v>
      </c>
      <c r="B2582" s="6" t="str">
        <f>"刘思洁"</f>
        <v>刘思洁</v>
      </c>
      <c r="C2582" s="6" t="str">
        <f t="shared" si="118"/>
        <v>女</v>
      </c>
      <c r="D2582" s="6" t="str">
        <f>"202127014326"</f>
        <v>202127014326</v>
      </c>
      <c r="E2582" s="10" t="s">
        <v>27</v>
      </c>
      <c r="F2582" s="6" t="s">
        <v>9</v>
      </c>
      <c r="G2582" s="8">
        <v>52.2</v>
      </c>
      <c r="H2582" s="6"/>
    </row>
    <row r="2583" spans="1:8">
      <c r="A2583" s="5">
        <v>2383</v>
      </c>
      <c r="B2583" s="6" t="str">
        <f>" 郑雪兰"</f>
        <v>郑雪兰</v>
      </c>
      <c r="C2583" s="6" t="str">
        <f t="shared" si="118"/>
        <v>女</v>
      </c>
      <c r="D2583" s="6" t="str">
        <f>"202127014327"</f>
        <v>202127014327</v>
      </c>
      <c r="E2583" s="10" t="s">
        <v>27</v>
      </c>
      <c r="F2583" s="6" t="s">
        <v>9</v>
      </c>
      <c r="G2583" s="8">
        <v>48.95</v>
      </c>
      <c r="H2583" s="6"/>
    </row>
    <row r="2584" spans="1:8">
      <c r="A2584" s="5">
        <v>2320</v>
      </c>
      <c r="B2584" s="6" t="str">
        <f>"钱丽红"</f>
        <v>钱丽红</v>
      </c>
      <c r="C2584" s="6" t="str">
        <f t="shared" si="118"/>
        <v>女</v>
      </c>
      <c r="D2584" s="6" t="str">
        <f>"202127014328"</f>
        <v>202127014328</v>
      </c>
      <c r="E2584" s="10" t="s">
        <v>27</v>
      </c>
      <c r="F2584" s="6" t="s">
        <v>9</v>
      </c>
      <c r="G2584" s="8">
        <v>49.95</v>
      </c>
      <c r="H2584" s="6"/>
    </row>
    <row r="2585" spans="1:8">
      <c r="A2585" s="5">
        <v>1847</v>
      </c>
      <c r="B2585" s="6" t="str">
        <f>"王霞"</f>
        <v>王霞</v>
      </c>
      <c r="C2585" s="6" t="str">
        <f t="shared" si="118"/>
        <v>女</v>
      </c>
      <c r="D2585" s="6" t="str">
        <f>"202127014329"</f>
        <v>202127014329</v>
      </c>
      <c r="E2585" s="10" t="s">
        <v>27</v>
      </c>
      <c r="F2585" s="6" t="s">
        <v>9</v>
      </c>
      <c r="G2585" s="8">
        <v>53.6</v>
      </c>
      <c r="H2585" s="6"/>
    </row>
    <row r="2586" spans="1:8">
      <c r="A2586" s="5">
        <v>2011</v>
      </c>
      <c r="B2586" s="6" t="str">
        <f>"段姝婷"</f>
        <v>段姝婷</v>
      </c>
      <c r="C2586" s="6" t="str">
        <f t="shared" si="118"/>
        <v>女</v>
      </c>
      <c r="D2586" s="6" t="str">
        <f>"202127014330"</f>
        <v>202127014330</v>
      </c>
      <c r="E2586" s="10" t="s">
        <v>27</v>
      </c>
      <c r="F2586" s="6" t="s">
        <v>9</v>
      </c>
      <c r="G2586" s="8">
        <v>68.2</v>
      </c>
      <c r="H2586" s="6"/>
    </row>
    <row r="2587" spans="1:8">
      <c r="A2587" s="5">
        <v>2018</v>
      </c>
      <c r="B2587" s="6" t="str">
        <f>"邓海爽"</f>
        <v>邓海爽</v>
      </c>
      <c r="C2587" s="6" t="str">
        <f t="shared" si="118"/>
        <v>女</v>
      </c>
      <c r="D2587" s="6" t="str">
        <f>"202127014401"</f>
        <v>202127014401</v>
      </c>
      <c r="E2587" s="10" t="s">
        <v>27</v>
      </c>
      <c r="F2587" s="6" t="s">
        <v>9</v>
      </c>
      <c r="G2587" s="8">
        <v>60.15</v>
      </c>
      <c r="H2587" s="6"/>
    </row>
    <row r="2588" spans="1:8">
      <c r="A2588" s="5">
        <v>1932</v>
      </c>
      <c r="B2588" s="6" t="str">
        <f>"朱芳容"</f>
        <v>朱芳容</v>
      </c>
      <c r="C2588" s="6" t="str">
        <f t="shared" si="118"/>
        <v>女</v>
      </c>
      <c r="D2588" s="6" t="str">
        <f>"202127014402"</f>
        <v>202127014402</v>
      </c>
      <c r="E2588" s="10" t="s">
        <v>27</v>
      </c>
      <c r="F2588" s="6" t="s">
        <v>9</v>
      </c>
      <c r="G2588" s="8">
        <v>0</v>
      </c>
      <c r="H2588" s="9">
        <v>1</v>
      </c>
    </row>
    <row r="2589" spans="1:8">
      <c r="A2589" s="5">
        <v>2219</v>
      </c>
      <c r="B2589" s="6" t="str">
        <f>"吕璐"</f>
        <v>吕璐</v>
      </c>
      <c r="C2589" s="6" t="str">
        <f t="shared" si="118"/>
        <v>女</v>
      </c>
      <c r="D2589" s="6" t="str">
        <f>"202127014403"</f>
        <v>202127014403</v>
      </c>
      <c r="E2589" s="10" t="s">
        <v>27</v>
      </c>
      <c r="F2589" s="6" t="s">
        <v>9</v>
      </c>
      <c r="G2589" s="8">
        <v>62.45</v>
      </c>
      <c r="H2589" s="6"/>
    </row>
    <row r="2590" spans="1:8">
      <c r="A2590" s="5">
        <v>2399</v>
      </c>
      <c r="B2590" s="6" t="str">
        <f>"熊经平"</f>
        <v>熊经平</v>
      </c>
      <c r="C2590" s="6" t="str">
        <f t="shared" si="118"/>
        <v>女</v>
      </c>
      <c r="D2590" s="6" t="str">
        <f>"202127014404"</f>
        <v>202127014404</v>
      </c>
      <c r="E2590" s="10" t="s">
        <v>27</v>
      </c>
      <c r="F2590" s="6" t="s">
        <v>9</v>
      </c>
      <c r="G2590" s="8">
        <v>44.05</v>
      </c>
      <c r="H2590" s="6"/>
    </row>
    <row r="2591" spans="1:8">
      <c r="A2591" s="5">
        <v>2030</v>
      </c>
      <c r="B2591" s="6" t="str">
        <f>"任梦秋"</f>
        <v>任梦秋</v>
      </c>
      <c r="C2591" s="6" t="str">
        <f t="shared" si="118"/>
        <v>女</v>
      </c>
      <c r="D2591" s="6" t="str">
        <f>"202127014405"</f>
        <v>202127014405</v>
      </c>
      <c r="E2591" s="10" t="s">
        <v>27</v>
      </c>
      <c r="F2591" s="6" t="s">
        <v>9</v>
      </c>
      <c r="G2591" s="8">
        <v>46.75</v>
      </c>
      <c r="H2591" s="6"/>
    </row>
    <row r="2592" spans="1:8">
      <c r="A2592" s="5">
        <v>2060</v>
      </c>
      <c r="B2592" s="6" t="str">
        <f>"简恩娜"</f>
        <v>简恩娜</v>
      </c>
      <c r="C2592" s="6" t="str">
        <f t="shared" si="118"/>
        <v>女</v>
      </c>
      <c r="D2592" s="6" t="str">
        <f>"202127014406"</f>
        <v>202127014406</v>
      </c>
      <c r="E2592" s="10" t="s">
        <v>27</v>
      </c>
      <c r="F2592" s="6" t="s">
        <v>9</v>
      </c>
      <c r="G2592" s="8">
        <v>58.2</v>
      </c>
      <c r="H2592" s="6"/>
    </row>
    <row r="2593" spans="1:8">
      <c r="A2593" s="5">
        <v>2123</v>
      </c>
      <c r="B2593" s="6" t="str">
        <f>"刘重阳"</f>
        <v>刘重阳</v>
      </c>
      <c r="C2593" s="6" t="str">
        <f t="shared" si="118"/>
        <v>女</v>
      </c>
      <c r="D2593" s="6" t="str">
        <f>"202127014407"</f>
        <v>202127014407</v>
      </c>
      <c r="E2593" s="10" t="s">
        <v>27</v>
      </c>
      <c r="F2593" s="6" t="s">
        <v>9</v>
      </c>
      <c r="G2593" s="8">
        <v>58.6</v>
      </c>
      <c r="H2593" s="6"/>
    </row>
    <row r="2594" spans="1:8">
      <c r="A2594" s="5">
        <v>2368</v>
      </c>
      <c r="B2594" s="6" t="str">
        <f>"曹伟琛"</f>
        <v>曹伟琛</v>
      </c>
      <c r="C2594" s="6" t="str">
        <f>"男"</f>
        <v>男</v>
      </c>
      <c r="D2594" s="6" t="str">
        <f>"202127014408"</f>
        <v>202127014408</v>
      </c>
      <c r="E2594" s="10" t="s">
        <v>27</v>
      </c>
      <c r="F2594" s="6" t="s">
        <v>9</v>
      </c>
      <c r="G2594" s="8">
        <v>57.65</v>
      </c>
      <c r="H2594" s="6"/>
    </row>
    <row r="2595" spans="1:8">
      <c r="A2595" s="5">
        <v>1804</v>
      </c>
      <c r="B2595" s="6" t="str">
        <f>"赵艳屏"</f>
        <v>赵艳屏</v>
      </c>
      <c r="C2595" s="6" t="str">
        <f t="shared" ref="C2595:C2600" si="119">"女"</f>
        <v>女</v>
      </c>
      <c r="D2595" s="6" t="str">
        <f>"202127014409"</f>
        <v>202127014409</v>
      </c>
      <c r="E2595" s="10" t="s">
        <v>27</v>
      </c>
      <c r="F2595" s="6" t="s">
        <v>9</v>
      </c>
      <c r="G2595" s="8">
        <v>55.15</v>
      </c>
      <c r="H2595" s="6"/>
    </row>
    <row r="2596" spans="1:8">
      <c r="A2596" s="5">
        <v>2402</v>
      </c>
      <c r="B2596" s="6" t="str">
        <f>"丁肇慧"</f>
        <v>丁肇慧</v>
      </c>
      <c r="C2596" s="6" t="str">
        <f t="shared" si="119"/>
        <v>女</v>
      </c>
      <c r="D2596" s="6" t="str">
        <f>"202127014410"</f>
        <v>202127014410</v>
      </c>
      <c r="E2596" s="10" t="s">
        <v>27</v>
      </c>
      <c r="F2596" s="6" t="s">
        <v>9</v>
      </c>
      <c r="G2596" s="8">
        <v>59.1</v>
      </c>
      <c r="H2596" s="6"/>
    </row>
    <row r="2597" spans="1:8">
      <c r="A2597" s="5">
        <v>2343</v>
      </c>
      <c r="B2597" s="6" t="str">
        <f>"刘欣"</f>
        <v>刘欣</v>
      </c>
      <c r="C2597" s="6" t="str">
        <f t="shared" si="119"/>
        <v>女</v>
      </c>
      <c r="D2597" s="6" t="str">
        <f>"202127014411"</f>
        <v>202127014411</v>
      </c>
      <c r="E2597" s="10" t="s">
        <v>27</v>
      </c>
      <c r="F2597" s="6" t="s">
        <v>9</v>
      </c>
      <c r="G2597" s="8">
        <v>52.15</v>
      </c>
      <c r="H2597" s="6"/>
    </row>
    <row r="2598" spans="1:8">
      <c r="A2598" s="5">
        <v>1899</v>
      </c>
      <c r="B2598" s="6" t="str">
        <f>"王璐"</f>
        <v>王璐</v>
      </c>
      <c r="C2598" s="6" t="str">
        <f t="shared" si="119"/>
        <v>女</v>
      </c>
      <c r="D2598" s="6" t="str">
        <f>"202127014412"</f>
        <v>202127014412</v>
      </c>
      <c r="E2598" s="10" t="s">
        <v>27</v>
      </c>
      <c r="F2598" s="6" t="s">
        <v>9</v>
      </c>
      <c r="G2598" s="8">
        <v>54.55</v>
      </c>
      <c r="H2598" s="6"/>
    </row>
    <row r="2599" spans="1:8">
      <c r="A2599" s="5">
        <v>2094</v>
      </c>
      <c r="B2599" s="6" t="str">
        <f>"黎胜男"</f>
        <v>黎胜男</v>
      </c>
      <c r="C2599" s="6" t="str">
        <f t="shared" si="119"/>
        <v>女</v>
      </c>
      <c r="D2599" s="6" t="str">
        <f>"202127014413"</f>
        <v>202127014413</v>
      </c>
      <c r="E2599" s="10" t="s">
        <v>27</v>
      </c>
      <c r="F2599" s="6" t="s">
        <v>9</v>
      </c>
      <c r="G2599" s="8">
        <v>58.9</v>
      </c>
      <c r="H2599" s="6"/>
    </row>
    <row r="2600" spans="1:8">
      <c r="A2600" s="5">
        <v>1965</v>
      </c>
      <c r="B2600" s="6" t="str">
        <f>"李银珍"</f>
        <v>李银珍</v>
      </c>
      <c r="C2600" s="6" t="str">
        <f t="shared" si="119"/>
        <v>女</v>
      </c>
      <c r="D2600" s="6" t="str">
        <f>"202127014414"</f>
        <v>202127014414</v>
      </c>
      <c r="E2600" s="10" t="s">
        <v>27</v>
      </c>
      <c r="F2600" s="6" t="s">
        <v>9</v>
      </c>
      <c r="G2600" s="8">
        <v>53.9</v>
      </c>
      <c r="H2600" s="6"/>
    </row>
    <row r="2601" spans="1:8">
      <c r="A2601" s="5">
        <v>1972</v>
      </c>
      <c r="B2601" s="6" t="str">
        <f>"周苏天"</f>
        <v>周苏天</v>
      </c>
      <c r="C2601" s="6" t="str">
        <f>"男"</f>
        <v>男</v>
      </c>
      <c r="D2601" s="6" t="str">
        <f>"202127014415"</f>
        <v>202127014415</v>
      </c>
      <c r="E2601" s="10" t="s">
        <v>27</v>
      </c>
      <c r="F2601" s="6" t="s">
        <v>9</v>
      </c>
      <c r="G2601" s="8">
        <v>36</v>
      </c>
      <c r="H2601" s="6"/>
    </row>
    <row r="2602" spans="1:8">
      <c r="A2602" s="5">
        <v>2232</v>
      </c>
      <c r="B2602" s="6" t="str">
        <f>"贺思丽"</f>
        <v>贺思丽</v>
      </c>
      <c r="C2602" s="6" t="str">
        <f t="shared" ref="C2602:C2608" si="120">"女"</f>
        <v>女</v>
      </c>
      <c r="D2602" s="6" t="str">
        <f>"202127014416"</f>
        <v>202127014416</v>
      </c>
      <c r="E2602" s="10" t="s">
        <v>27</v>
      </c>
      <c r="F2602" s="6" t="s">
        <v>9</v>
      </c>
      <c r="G2602" s="8">
        <v>52.2</v>
      </c>
      <c r="H2602" s="6"/>
    </row>
    <row r="2603" spans="1:8">
      <c r="A2603" s="5">
        <v>2074</v>
      </c>
      <c r="B2603" s="6" t="str">
        <f>"周玉叶"</f>
        <v>周玉叶</v>
      </c>
      <c r="C2603" s="6" t="str">
        <f t="shared" si="120"/>
        <v>女</v>
      </c>
      <c r="D2603" s="6" t="str">
        <f>"202127014417"</f>
        <v>202127014417</v>
      </c>
      <c r="E2603" s="10" t="s">
        <v>27</v>
      </c>
      <c r="F2603" s="6" t="s">
        <v>9</v>
      </c>
      <c r="G2603" s="8">
        <v>65.7</v>
      </c>
      <c r="H2603" s="6"/>
    </row>
    <row r="2604" spans="1:8">
      <c r="A2604" s="5">
        <v>1925</v>
      </c>
      <c r="B2604" s="6" t="str">
        <f>"唐蝶"</f>
        <v>唐蝶</v>
      </c>
      <c r="C2604" s="6" t="str">
        <f t="shared" si="120"/>
        <v>女</v>
      </c>
      <c r="D2604" s="6" t="str">
        <f>"202127014418"</f>
        <v>202127014418</v>
      </c>
      <c r="E2604" s="10" t="s">
        <v>27</v>
      </c>
      <c r="F2604" s="6" t="s">
        <v>9</v>
      </c>
      <c r="G2604" s="8">
        <v>49.2</v>
      </c>
      <c r="H2604" s="6"/>
    </row>
    <row r="2605" spans="1:8">
      <c r="A2605" s="5">
        <v>2168</v>
      </c>
      <c r="B2605" s="6" t="str">
        <f>"帅鸽"</f>
        <v>帅鸽</v>
      </c>
      <c r="C2605" s="6" t="str">
        <f t="shared" si="120"/>
        <v>女</v>
      </c>
      <c r="D2605" s="6" t="str">
        <f>"202127014419"</f>
        <v>202127014419</v>
      </c>
      <c r="E2605" s="10" t="s">
        <v>27</v>
      </c>
      <c r="F2605" s="6" t="s">
        <v>9</v>
      </c>
      <c r="G2605" s="8">
        <v>13.5</v>
      </c>
      <c r="H2605" s="6"/>
    </row>
    <row r="2606" spans="1:8">
      <c r="A2606" s="5">
        <v>2428</v>
      </c>
      <c r="B2606" s="6" t="str">
        <f>"吴芷晴"</f>
        <v>吴芷晴</v>
      </c>
      <c r="C2606" s="6" t="str">
        <f t="shared" si="120"/>
        <v>女</v>
      </c>
      <c r="D2606" s="6" t="str">
        <f>"202127014420"</f>
        <v>202127014420</v>
      </c>
      <c r="E2606" s="10" t="s">
        <v>27</v>
      </c>
      <c r="F2606" s="6" t="s">
        <v>9</v>
      </c>
      <c r="G2606" s="8">
        <v>53.85</v>
      </c>
      <c r="H2606" s="6"/>
    </row>
    <row r="2607" spans="1:8">
      <c r="A2607" s="5">
        <v>2267</v>
      </c>
      <c r="B2607" s="6" t="str">
        <f>"周迎春"</f>
        <v>周迎春</v>
      </c>
      <c r="C2607" s="6" t="str">
        <f t="shared" si="120"/>
        <v>女</v>
      </c>
      <c r="D2607" s="6" t="str">
        <f>"202127014421"</f>
        <v>202127014421</v>
      </c>
      <c r="E2607" s="10" t="s">
        <v>27</v>
      </c>
      <c r="F2607" s="6" t="s">
        <v>9</v>
      </c>
      <c r="G2607" s="8">
        <v>52.45</v>
      </c>
      <c r="H2607" s="6"/>
    </row>
    <row r="2608" spans="1:8">
      <c r="A2608" s="5">
        <v>1988</v>
      </c>
      <c r="B2608" s="6" t="str">
        <f>"杨帆"</f>
        <v>杨帆</v>
      </c>
      <c r="C2608" s="6" t="str">
        <f t="shared" si="120"/>
        <v>女</v>
      </c>
      <c r="D2608" s="6" t="str">
        <f>"202127014422"</f>
        <v>202127014422</v>
      </c>
      <c r="E2608" s="10" t="s">
        <v>27</v>
      </c>
      <c r="F2608" s="6" t="s">
        <v>9</v>
      </c>
      <c r="G2608" s="8">
        <v>44.5</v>
      </c>
      <c r="H2608" s="6"/>
    </row>
    <row r="2609" spans="1:8">
      <c r="A2609" s="5">
        <v>2295</v>
      </c>
      <c r="B2609" s="6" t="str">
        <f>"李洪济"</f>
        <v>李洪济</v>
      </c>
      <c r="C2609" s="6" t="str">
        <f>"男"</f>
        <v>男</v>
      </c>
      <c r="D2609" s="6" t="str">
        <f>"202127014423"</f>
        <v>202127014423</v>
      </c>
      <c r="E2609" s="10" t="s">
        <v>27</v>
      </c>
      <c r="F2609" s="6" t="s">
        <v>9</v>
      </c>
      <c r="G2609" s="8">
        <v>65.05</v>
      </c>
      <c r="H2609" s="6"/>
    </row>
    <row r="2610" spans="1:8">
      <c r="A2610" s="5">
        <v>2009</v>
      </c>
      <c r="B2610" s="6" t="str">
        <f>"易少霞"</f>
        <v>易少霞</v>
      </c>
      <c r="C2610" s="6" t="str">
        <f t="shared" ref="C2610:C2643" si="121">"女"</f>
        <v>女</v>
      </c>
      <c r="D2610" s="6" t="str">
        <f>"202127014424"</f>
        <v>202127014424</v>
      </c>
      <c r="E2610" s="10" t="s">
        <v>27</v>
      </c>
      <c r="F2610" s="6" t="s">
        <v>9</v>
      </c>
      <c r="G2610" s="8">
        <v>62.8</v>
      </c>
      <c r="H2610" s="6"/>
    </row>
    <row r="2611" spans="1:8">
      <c r="A2611" s="5">
        <v>2064</v>
      </c>
      <c r="B2611" s="6" t="str">
        <f>"王玉铃"</f>
        <v>王玉铃</v>
      </c>
      <c r="C2611" s="6" t="str">
        <f t="shared" si="121"/>
        <v>女</v>
      </c>
      <c r="D2611" s="6" t="str">
        <f>"202127014425"</f>
        <v>202127014425</v>
      </c>
      <c r="E2611" s="10" t="s">
        <v>27</v>
      </c>
      <c r="F2611" s="6" t="s">
        <v>9</v>
      </c>
      <c r="G2611" s="8">
        <v>58.75</v>
      </c>
      <c r="H2611" s="6"/>
    </row>
    <row r="2612" spans="1:8">
      <c r="A2612" s="5">
        <v>2371</v>
      </c>
      <c r="B2612" s="6" t="str">
        <f>"周颖"</f>
        <v>周颖</v>
      </c>
      <c r="C2612" s="6" t="str">
        <f t="shared" si="121"/>
        <v>女</v>
      </c>
      <c r="D2612" s="6" t="str">
        <f>"202127014426"</f>
        <v>202127014426</v>
      </c>
      <c r="E2612" s="10" t="s">
        <v>27</v>
      </c>
      <c r="F2612" s="6" t="s">
        <v>9</v>
      </c>
      <c r="G2612" s="8">
        <v>49.85</v>
      </c>
      <c r="H2612" s="6"/>
    </row>
    <row r="2613" spans="1:8">
      <c r="A2613" s="5">
        <v>2077</v>
      </c>
      <c r="B2613" s="6" t="str">
        <f>"王佩"</f>
        <v>王佩</v>
      </c>
      <c r="C2613" s="6" t="str">
        <f t="shared" si="121"/>
        <v>女</v>
      </c>
      <c r="D2613" s="6" t="str">
        <f>"202127014427"</f>
        <v>202127014427</v>
      </c>
      <c r="E2613" s="10" t="s">
        <v>27</v>
      </c>
      <c r="F2613" s="6" t="s">
        <v>9</v>
      </c>
      <c r="G2613" s="8">
        <v>57.65</v>
      </c>
      <c r="H2613" s="6"/>
    </row>
    <row r="2614" spans="1:8">
      <c r="A2614" s="5">
        <v>2271</v>
      </c>
      <c r="B2614" s="6" t="str">
        <f>"申忠忠"</f>
        <v>申忠忠</v>
      </c>
      <c r="C2614" s="6" t="str">
        <f t="shared" si="121"/>
        <v>女</v>
      </c>
      <c r="D2614" s="6" t="str">
        <f>"202127014428"</f>
        <v>202127014428</v>
      </c>
      <c r="E2614" s="10" t="s">
        <v>27</v>
      </c>
      <c r="F2614" s="6" t="s">
        <v>9</v>
      </c>
      <c r="G2614" s="8">
        <v>62.05</v>
      </c>
      <c r="H2614" s="6"/>
    </row>
    <row r="2615" spans="1:8">
      <c r="A2615" s="5">
        <v>1872</v>
      </c>
      <c r="B2615" s="6" t="str">
        <f>"蒋影"</f>
        <v>蒋影</v>
      </c>
      <c r="C2615" s="6" t="str">
        <f t="shared" si="121"/>
        <v>女</v>
      </c>
      <c r="D2615" s="6" t="str">
        <f>"202127014429"</f>
        <v>202127014429</v>
      </c>
      <c r="E2615" s="10" t="s">
        <v>27</v>
      </c>
      <c r="F2615" s="6" t="s">
        <v>9</v>
      </c>
      <c r="G2615" s="8">
        <v>63.05</v>
      </c>
      <c r="H2615" s="6"/>
    </row>
    <row r="2616" spans="1:8">
      <c r="A2616" s="5">
        <v>2256</v>
      </c>
      <c r="B2616" s="6" t="str">
        <f>"谢萍"</f>
        <v>谢萍</v>
      </c>
      <c r="C2616" s="6" t="str">
        <f t="shared" si="121"/>
        <v>女</v>
      </c>
      <c r="D2616" s="6" t="str">
        <f>"202127014430"</f>
        <v>202127014430</v>
      </c>
      <c r="E2616" s="10" t="s">
        <v>27</v>
      </c>
      <c r="F2616" s="6" t="s">
        <v>9</v>
      </c>
      <c r="G2616" s="8">
        <v>54.55</v>
      </c>
      <c r="H2616" s="6"/>
    </row>
    <row r="2617" spans="1:8">
      <c r="A2617" s="5">
        <v>1831</v>
      </c>
      <c r="B2617" s="6" t="str">
        <f>"刘懿"</f>
        <v>刘懿</v>
      </c>
      <c r="C2617" s="6" t="str">
        <f t="shared" si="121"/>
        <v>女</v>
      </c>
      <c r="D2617" s="6" t="str">
        <f>"202127020101"</f>
        <v>202127020101</v>
      </c>
      <c r="E2617" s="10" t="s">
        <v>27</v>
      </c>
      <c r="F2617" s="6" t="s">
        <v>9</v>
      </c>
      <c r="G2617" s="8">
        <v>60.9</v>
      </c>
      <c r="H2617" s="6"/>
    </row>
    <row r="2618" spans="1:8">
      <c r="A2618" s="5">
        <v>2041</v>
      </c>
      <c r="B2618" s="6" t="str">
        <f>"黄莺"</f>
        <v>黄莺</v>
      </c>
      <c r="C2618" s="6" t="str">
        <f t="shared" si="121"/>
        <v>女</v>
      </c>
      <c r="D2618" s="6" t="str">
        <f>"202127020102"</f>
        <v>202127020102</v>
      </c>
      <c r="E2618" s="10" t="s">
        <v>27</v>
      </c>
      <c r="F2618" s="6" t="s">
        <v>9</v>
      </c>
      <c r="G2618" s="8">
        <v>60.65</v>
      </c>
      <c r="H2618" s="6"/>
    </row>
    <row r="2619" spans="1:8">
      <c r="A2619" s="5">
        <v>2208</v>
      </c>
      <c r="B2619" s="6" t="str">
        <f>"罗叶"</f>
        <v>罗叶</v>
      </c>
      <c r="C2619" s="6" t="str">
        <f t="shared" si="121"/>
        <v>女</v>
      </c>
      <c r="D2619" s="6" t="str">
        <f>"202127020103"</f>
        <v>202127020103</v>
      </c>
      <c r="E2619" s="10" t="s">
        <v>27</v>
      </c>
      <c r="F2619" s="6" t="s">
        <v>9</v>
      </c>
      <c r="G2619" s="8">
        <v>41.65</v>
      </c>
      <c r="H2619" s="6"/>
    </row>
    <row r="2620" spans="1:8">
      <c r="A2620" s="5">
        <v>1773</v>
      </c>
      <c r="B2620" s="6" t="str">
        <f>"肖秋霞"</f>
        <v>肖秋霞</v>
      </c>
      <c r="C2620" s="6" t="str">
        <f t="shared" si="121"/>
        <v>女</v>
      </c>
      <c r="D2620" s="6" t="str">
        <f>"202127020104"</f>
        <v>202127020104</v>
      </c>
      <c r="E2620" s="10" t="s">
        <v>27</v>
      </c>
      <c r="F2620" s="6" t="s">
        <v>9</v>
      </c>
      <c r="G2620" s="8">
        <v>65.849999999999994</v>
      </c>
      <c r="H2620" s="6"/>
    </row>
    <row r="2621" spans="1:8">
      <c r="A2621" s="5">
        <v>2127</v>
      </c>
      <c r="B2621" s="6" t="str">
        <f>"钟春丽"</f>
        <v>钟春丽</v>
      </c>
      <c r="C2621" s="6" t="str">
        <f t="shared" si="121"/>
        <v>女</v>
      </c>
      <c r="D2621" s="6" t="str">
        <f>"202127020105"</f>
        <v>202127020105</v>
      </c>
      <c r="E2621" s="10" t="s">
        <v>27</v>
      </c>
      <c r="F2621" s="6" t="s">
        <v>9</v>
      </c>
      <c r="G2621" s="8">
        <v>53.8</v>
      </c>
      <c r="H2621" s="6"/>
    </row>
    <row r="2622" spans="1:8">
      <c r="A2622" s="5">
        <v>1916</v>
      </c>
      <c r="B2622" s="6" t="str">
        <f>"刘熳婷"</f>
        <v>刘熳婷</v>
      </c>
      <c r="C2622" s="6" t="str">
        <f t="shared" si="121"/>
        <v>女</v>
      </c>
      <c r="D2622" s="6" t="str">
        <f>"202127020106"</f>
        <v>202127020106</v>
      </c>
      <c r="E2622" s="10" t="s">
        <v>27</v>
      </c>
      <c r="F2622" s="6" t="s">
        <v>9</v>
      </c>
      <c r="G2622" s="8">
        <v>54.75</v>
      </c>
      <c r="H2622" s="6"/>
    </row>
    <row r="2623" spans="1:8">
      <c r="A2623" s="5">
        <v>2209</v>
      </c>
      <c r="B2623" s="6" t="str">
        <f>"胡丽文"</f>
        <v>胡丽文</v>
      </c>
      <c r="C2623" s="6" t="str">
        <f t="shared" si="121"/>
        <v>女</v>
      </c>
      <c r="D2623" s="6" t="str">
        <f>"202127020107"</f>
        <v>202127020107</v>
      </c>
      <c r="E2623" s="10" t="s">
        <v>27</v>
      </c>
      <c r="F2623" s="6" t="s">
        <v>9</v>
      </c>
      <c r="G2623" s="8">
        <v>59.3</v>
      </c>
      <c r="H2623" s="6"/>
    </row>
    <row r="2624" spans="1:8">
      <c r="A2624" s="5">
        <v>2551</v>
      </c>
      <c r="B2624" s="6" t="str">
        <f>"汪初霞"</f>
        <v>汪初霞</v>
      </c>
      <c r="C2624" s="6" t="str">
        <f t="shared" si="121"/>
        <v>女</v>
      </c>
      <c r="D2624" s="6" t="str">
        <f>"202128020108"</f>
        <v>202128020108</v>
      </c>
      <c r="E2624" s="10" t="s">
        <v>27</v>
      </c>
      <c r="F2624" s="6" t="s">
        <v>10</v>
      </c>
      <c r="G2624" s="8">
        <v>52.85</v>
      </c>
      <c r="H2624" s="6"/>
    </row>
    <row r="2625" spans="1:8">
      <c r="A2625" s="5">
        <v>2469</v>
      </c>
      <c r="B2625" s="6" t="str">
        <f>"杨晶"</f>
        <v>杨晶</v>
      </c>
      <c r="C2625" s="6" t="str">
        <f t="shared" si="121"/>
        <v>女</v>
      </c>
      <c r="D2625" s="6" t="str">
        <f>"202128020109"</f>
        <v>202128020109</v>
      </c>
      <c r="E2625" s="10" t="s">
        <v>27</v>
      </c>
      <c r="F2625" s="6" t="s">
        <v>10</v>
      </c>
      <c r="G2625" s="8">
        <v>0</v>
      </c>
      <c r="H2625" s="9">
        <v>1</v>
      </c>
    </row>
    <row r="2626" spans="1:8">
      <c r="A2626" s="5">
        <v>2746</v>
      </c>
      <c r="B2626" s="6" t="str">
        <f>"张彬洋"</f>
        <v>张彬洋</v>
      </c>
      <c r="C2626" s="6" t="str">
        <f t="shared" si="121"/>
        <v>女</v>
      </c>
      <c r="D2626" s="6" t="str">
        <f>"202128020110"</f>
        <v>202128020110</v>
      </c>
      <c r="E2626" s="10" t="s">
        <v>27</v>
      </c>
      <c r="F2626" s="6" t="s">
        <v>10</v>
      </c>
      <c r="G2626" s="8">
        <v>55.25</v>
      </c>
      <c r="H2626" s="6"/>
    </row>
    <row r="2627" spans="1:8">
      <c r="A2627" s="5">
        <v>2620</v>
      </c>
      <c r="B2627" s="6" t="str">
        <f>"唐梓琼"</f>
        <v>唐梓琼</v>
      </c>
      <c r="C2627" s="6" t="str">
        <f t="shared" si="121"/>
        <v>女</v>
      </c>
      <c r="D2627" s="6" t="str">
        <f>"202128020111"</f>
        <v>202128020111</v>
      </c>
      <c r="E2627" s="10" t="s">
        <v>27</v>
      </c>
      <c r="F2627" s="6" t="s">
        <v>10</v>
      </c>
      <c r="G2627" s="8">
        <v>51.2</v>
      </c>
      <c r="H2627" s="6"/>
    </row>
    <row r="2628" spans="1:8">
      <c r="A2628" s="5">
        <v>2552</v>
      </c>
      <c r="B2628" s="6" t="str">
        <f>"彭发"</f>
        <v>彭发</v>
      </c>
      <c r="C2628" s="6" t="str">
        <f t="shared" si="121"/>
        <v>女</v>
      </c>
      <c r="D2628" s="6" t="str">
        <f>"202128020112"</f>
        <v>202128020112</v>
      </c>
      <c r="E2628" s="10" t="s">
        <v>27</v>
      </c>
      <c r="F2628" s="6" t="s">
        <v>10</v>
      </c>
      <c r="G2628" s="8">
        <v>60.4</v>
      </c>
      <c r="H2628" s="6"/>
    </row>
    <row r="2629" spans="1:8">
      <c r="A2629" s="5">
        <v>2603</v>
      </c>
      <c r="B2629" s="6" t="str">
        <f>"邓玉童"</f>
        <v>邓玉童</v>
      </c>
      <c r="C2629" s="6" t="str">
        <f t="shared" si="121"/>
        <v>女</v>
      </c>
      <c r="D2629" s="6" t="str">
        <f>"202128020113"</f>
        <v>202128020113</v>
      </c>
      <c r="E2629" s="10" t="s">
        <v>27</v>
      </c>
      <c r="F2629" s="6" t="s">
        <v>10</v>
      </c>
      <c r="G2629" s="8">
        <v>63.85</v>
      </c>
      <c r="H2629" s="6"/>
    </row>
    <row r="2630" spans="1:8">
      <c r="A2630" s="5">
        <v>2540</v>
      </c>
      <c r="B2630" s="6" t="str">
        <f>"杨叶"</f>
        <v>杨叶</v>
      </c>
      <c r="C2630" s="6" t="str">
        <f t="shared" si="121"/>
        <v>女</v>
      </c>
      <c r="D2630" s="6" t="str">
        <f>"202128020114"</f>
        <v>202128020114</v>
      </c>
      <c r="E2630" s="10" t="s">
        <v>27</v>
      </c>
      <c r="F2630" s="6" t="s">
        <v>10</v>
      </c>
      <c r="G2630" s="8">
        <v>44.4</v>
      </c>
      <c r="H2630" s="6"/>
    </row>
    <row r="2631" spans="1:8">
      <c r="A2631" s="5">
        <v>2619</v>
      </c>
      <c r="B2631" s="6" t="str">
        <f>"刘凌"</f>
        <v>刘凌</v>
      </c>
      <c r="C2631" s="6" t="str">
        <f t="shared" si="121"/>
        <v>女</v>
      </c>
      <c r="D2631" s="6" t="str">
        <f>"202128020115"</f>
        <v>202128020115</v>
      </c>
      <c r="E2631" s="10" t="s">
        <v>27</v>
      </c>
      <c r="F2631" s="6" t="s">
        <v>10</v>
      </c>
      <c r="G2631" s="8">
        <v>62.05</v>
      </c>
      <c r="H2631" s="6"/>
    </row>
    <row r="2632" spans="1:8">
      <c r="A2632" s="5">
        <v>2646</v>
      </c>
      <c r="B2632" s="6" t="str">
        <f>"王玲子"</f>
        <v>王玲子</v>
      </c>
      <c r="C2632" s="6" t="str">
        <f t="shared" si="121"/>
        <v>女</v>
      </c>
      <c r="D2632" s="6" t="str">
        <f>"202128020116"</f>
        <v>202128020116</v>
      </c>
      <c r="E2632" s="10" t="s">
        <v>27</v>
      </c>
      <c r="F2632" s="6" t="s">
        <v>10</v>
      </c>
      <c r="G2632" s="8">
        <v>59.05</v>
      </c>
      <c r="H2632" s="6"/>
    </row>
    <row r="2633" spans="1:8">
      <c r="A2633" s="5">
        <v>2636</v>
      </c>
      <c r="B2633" s="6" t="str">
        <f>"唐红乐"</f>
        <v>唐红乐</v>
      </c>
      <c r="C2633" s="6" t="str">
        <f t="shared" si="121"/>
        <v>女</v>
      </c>
      <c r="D2633" s="6" t="str">
        <f>"202128020117"</f>
        <v>202128020117</v>
      </c>
      <c r="E2633" s="10" t="s">
        <v>27</v>
      </c>
      <c r="F2633" s="6" t="s">
        <v>10</v>
      </c>
      <c r="G2633" s="8">
        <v>57.15</v>
      </c>
      <c r="H2633" s="6"/>
    </row>
    <row r="2634" spans="1:8">
      <c r="A2634" s="5">
        <v>2481</v>
      </c>
      <c r="B2634" s="6" t="str">
        <f>"邓琳薇"</f>
        <v>邓琳薇</v>
      </c>
      <c r="C2634" s="6" t="str">
        <f t="shared" si="121"/>
        <v>女</v>
      </c>
      <c r="D2634" s="6" t="str">
        <f>"202128020118"</f>
        <v>202128020118</v>
      </c>
      <c r="E2634" s="10" t="s">
        <v>27</v>
      </c>
      <c r="F2634" s="6" t="s">
        <v>10</v>
      </c>
      <c r="G2634" s="8">
        <v>60.55</v>
      </c>
      <c r="H2634" s="6"/>
    </row>
    <row r="2635" spans="1:8">
      <c r="A2635" s="5">
        <v>2534</v>
      </c>
      <c r="B2635" s="6" t="str">
        <f>"张雯"</f>
        <v>张雯</v>
      </c>
      <c r="C2635" s="6" t="str">
        <f t="shared" si="121"/>
        <v>女</v>
      </c>
      <c r="D2635" s="6" t="str">
        <f>"202128020119"</f>
        <v>202128020119</v>
      </c>
      <c r="E2635" s="10" t="s">
        <v>27</v>
      </c>
      <c r="F2635" s="6" t="s">
        <v>10</v>
      </c>
      <c r="G2635" s="8">
        <v>58.2</v>
      </c>
      <c r="H2635" s="6"/>
    </row>
    <row r="2636" spans="1:8">
      <c r="A2636" s="5">
        <v>2696</v>
      </c>
      <c r="B2636" s="6" t="str">
        <f>"刘佩佳"</f>
        <v>刘佩佳</v>
      </c>
      <c r="C2636" s="6" t="str">
        <f t="shared" si="121"/>
        <v>女</v>
      </c>
      <c r="D2636" s="6" t="str">
        <f>"202128020120"</f>
        <v>202128020120</v>
      </c>
      <c r="E2636" s="10" t="s">
        <v>27</v>
      </c>
      <c r="F2636" s="6" t="s">
        <v>10</v>
      </c>
      <c r="G2636" s="8">
        <v>57.85</v>
      </c>
      <c r="H2636" s="6"/>
    </row>
    <row r="2637" spans="1:8">
      <c r="A2637" s="5">
        <v>2612</v>
      </c>
      <c r="B2637" s="6" t="str">
        <f>"岳熙文"</f>
        <v>岳熙文</v>
      </c>
      <c r="C2637" s="6" t="str">
        <f t="shared" si="121"/>
        <v>女</v>
      </c>
      <c r="D2637" s="6" t="str">
        <f>"202128020121"</f>
        <v>202128020121</v>
      </c>
      <c r="E2637" s="10" t="s">
        <v>27</v>
      </c>
      <c r="F2637" s="6" t="s">
        <v>10</v>
      </c>
      <c r="G2637" s="8">
        <v>56.1</v>
      </c>
      <c r="H2637" s="6"/>
    </row>
    <row r="2638" spans="1:8">
      <c r="A2638" s="5">
        <v>2530</v>
      </c>
      <c r="B2638" s="6" t="str">
        <f>"刘依琴"</f>
        <v>刘依琴</v>
      </c>
      <c r="C2638" s="6" t="str">
        <f t="shared" si="121"/>
        <v>女</v>
      </c>
      <c r="D2638" s="6" t="str">
        <f>"202128020122"</f>
        <v>202128020122</v>
      </c>
      <c r="E2638" s="10" t="s">
        <v>27</v>
      </c>
      <c r="F2638" s="6" t="s">
        <v>10</v>
      </c>
      <c r="G2638" s="8">
        <v>61.2</v>
      </c>
      <c r="H2638" s="6"/>
    </row>
    <row r="2639" spans="1:8">
      <c r="A2639" s="5">
        <v>2498</v>
      </c>
      <c r="B2639" s="6" t="str">
        <f>"梁艳红"</f>
        <v>梁艳红</v>
      </c>
      <c r="C2639" s="6" t="str">
        <f t="shared" si="121"/>
        <v>女</v>
      </c>
      <c r="D2639" s="6" t="str">
        <f>"202128020123"</f>
        <v>202128020123</v>
      </c>
      <c r="E2639" s="10" t="s">
        <v>27</v>
      </c>
      <c r="F2639" s="6" t="s">
        <v>10</v>
      </c>
      <c r="G2639" s="8">
        <v>43.65</v>
      </c>
      <c r="H2639" s="6"/>
    </row>
    <row r="2640" spans="1:8">
      <c r="A2640" s="5">
        <v>2614</v>
      </c>
      <c r="B2640" s="6" t="str">
        <f>"刘烨"</f>
        <v>刘烨</v>
      </c>
      <c r="C2640" s="6" t="str">
        <f t="shared" si="121"/>
        <v>女</v>
      </c>
      <c r="D2640" s="6" t="str">
        <f>"202128020124"</f>
        <v>202128020124</v>
      </c>
      <c r="E2640" s="10" t="s">
        <v>27</v>
      </c>
      <c r="F2640" s="6" t="s">
        <v>10</v>
      </c>
      <c r="G2640" s="8">
        <v>49.85</v>
      </c>
      <c r="H2640" s="6"/>
    </row>
    <row r="2641" spans="1:8">
      <c r="A2641" s="5">
        <v>2489</v>
      </c>
      <c r="B2641" s="6" t="str">
        <f>"刘赟"</f>
        <v>刘赟</v>
      </c>
      <c r="C2641" s="6" t="str">
        <f t="shared" si="121"/>
        <v>女</v>
      </c>
      <c r="D2641" s="6" t="str">
        <f>"202128020125"</f>
        <v>202128020125</v>
      </c>
      <c r="E2641" s="10" t="s">
        <v>27</v>
      </c>
      <c r="F2641" s="6" t="s">
        <v>10</v>
      </c>
      <c r="G2641" s="8">
        <v>0</v>
      </c>
      <c r="H2641" s="9">
        <v>1</v>
      </c>
    </row>
    <row r="2642" spans="1:8">
      <c r="A2642" s="5">
        <v>2672</v>
      </c>
      <c r="B2642" s="6" t="str">
        <f>"匡娟"</f>
        <v>匡娟</v>
      </c>
      <c r="C2642" s="6" t="str">
        <f t="shared" si="121"/>
        <v>女</v>
      </c>
      <c r="D2642" s="6" t="str">
        <f>"202128020126"</f>
        <v>202128020126</v>
      </c>
      <c r="E2642" s="10" t="s">
        <v>27</v>
      </c>
      <c r="F2642" s="6" t="s">
        <v>10</v>
      </c>
      <c r="G2642" s="8">
        <v>62.95</v>
      </c>
      <c r="H2642" s="6"/>
    </row>
    <row r="2643" spans="1:8">
      <c r="A2643" s="5">
        <v>2467</v>
      </c>
      <c r="B2643" s="6" t="str">
        <f>"李浩林"</f>
        <v>李浩林</v>
      </c>
      <c r="C2643" s="6" t="str">
        <f t="shared" si="121"/>
        <v>女</v>
      </c>
      <c r="D2643" s="6" t="str">
        <f>"202128020127"</f>
        <v>202128020127</v>
      </c>
      <c r="E2643" s="10" t="s">
        <v>27</v>
      </c>
      <c r="F2643" s="6" t="s">
        <v>10</v>
      </c>
      <c r="G2643" s="8">
        <v>53.4</v>
      </c>
      <c r="H2643" s="6"/>
    </row>
    <row r="2644" spans="1:8">
      <c r="A2644" s="5">
        <v>2724</v>
      </c>
      <c r="B2644" s="6" t="str">
        <f>"胡希圆"</f>
        <v>胡希圆</v>
      </c>
      <c r="C2644" s="6" t="str">
        <f>"男"</f>
        <v>男</v>
      </c>
      <c r="D2644" s="6" t="str">
        <f>"202128020128"</f>
        <v>202128020128</v>
      </c>
      <c r="E2644" s="10" t="s">
        <v>27</v>
      </c>
      <c r="F2644" s="6" t="s">
        <v>10</v>
      </c>
      <c r="G2644" s="8">
        <v>66</v>
      </c>
      <c r="H2644" s="6"/>
    </row>
    <row r="2645" spans="1:8">
      <c r="A2645" s="5">
        <v>2750</v>
      </c>
      <c r="B2645" s="6" t="str">
        <f>"周莹"</f>
        <v>周莹</v>
      </c>
      <c r="C2645" s="6" t="str">
        <f>"女"</f>
        <v>女</v>
      </c>
      <c r="D2645" s="6" t="str">
        <f>"202128020129"</f>
        <v>202128020129</v>
      </c>
      <c r="E2645" s="10" t="s">
        <v>27</v>
      </c>
      <c r="F2645" s="6" t="s">
        <v>10</v>
      </c>
      <c r="G2645" s="8">
        <v>47.35</v>
      </c>
      <c r="H2645" s="6"/>
    </row>
    <row r="2646" spans="1:8">
      <c r="A2646" s="5">
        <v>2663</v>
      </c>
      <c r="B2646" s="6" t="str">
        <f>"王源芳"</f>
        <v>王源芳</v>
      </c>
      <c r="C2646" s="6" t="str">
        <f>"女"</f>
        <v>女</v>
      </c>
      <c r="D2646" s="6" t="str">
        <f>"202128020130"</f>
        <v>202128020130</v>
      </c>
      <c r="E2646" s="10" t="s">
        <v>27</v>
      </c>
      <c r="F2646" s="6" t="s">
        <v>10</v>
      </c>
      <c r="G2646" s="8">
        <v>58.8</v>
      </c>
      <c r="H2646" s="6"/>
    </row>
    <row r="2647" spans="1:8">
      <c r="A2647" s="5">
        <v>2722</v>
      </c>
      <c r="B2647" s="6" t="str">
        <f>"龚传豪"</f>
        <v>龚传豪</v>
      </c>
      <c r="C2647" s="6" t="str">
        <f>"男"</f>
        <v>男</v>
      </c>
      <c r="D2647" s="6" t="str">
        <f>"202128020201"</f>
        <v>202128020201</v>
      </c>
      <c r="E2647" s="10" t="s">
        <v>27</v>
      </c>
      <c r="F2647" s="6" t="s">
        <v>10</v>
      </c>
      <c r="G2647" s="8">
        <v>52.05</v>
      </c>
      <c r="H2647" s="6"/>
    </row>
    <row r="2648" spans="1:8">
      <c r="A2648" s="5">
        <v>2468</v>
      </c>
      <c r="B2648" s="6" t="str">
        <f>"邓晶晶"</f>
        <v>邓晶晶</v>
      </c>
      <c r="C2648" s="6" t="str">
        <f t="shared" ref="C2648:C2662" si="122">"女"</f>
        <v>女</v>
      </c>
      <c r="D2648" s="6" t="str">
        <f>"202128020202"</f>
        <v>202128020202</v>
      </c>
      <c r="E2648" s="10" t="s">
        <v>27</v>
      </c>
      <c r="F2648" s="6" t="s">
        <v>10</v>
      </c>
      <c r="G2648" s="8">
        <v>58.4</v>
      </c>
      <c r="H2648" s="6"/>
    </row>
    <row r="2649" spans="1:8">
      <c r="A2649" s="5">
        <v>2546</v>
      </c>
      <c r="B2649" s="6" t="str">
        <f>"欧康艳"</f>
        <v>欧康艳</v>
      </c>
      <c r="C2649" s="6" t="str">
        <f t="shared" si="122"/>
        <v>女</v>
      </c>
      <c r="D2649" s="6" t="str">
        <f>"202128020203"</f>
        <v>202128020203</v>
      </c>
      <c r="E2649" s="10" t="s">
        <v>27</v>
      </c>
      <c r="F2649" s="6" t="s">
        <v>10</v>
      </c>
      <c r="G2649" s="8">
        <v>57.9</v>
      </c>
      <c r="H2649" s="6"/>
    </row>
    <row r="2650" spans="1:8">
      <c r="A2650" s="5">
        <v>2719</v>
      </c>
      <c r="B2650" s="6" t="str">
        <f>"马哲琦"</f>
        <v>马哲琦</v>
      </c>
      <c r="C2650" s="6" t="str">
        <f t="shared" si="122"/>
        <v>女</v>
      </c>
      <c r="D2650" s="6" t="str">
        <f>"202128020204"</f>
        <v>202128020204</v>
      </c>
      <c r="E2650" s="10" t="s">
        <v>27</v>
      </c>
      <c r="F2650" s="6" t="s">
        <v>10</v>
      </c>
      <c r="G2650" s="8">
        <v>56.4</v>
      </c>
      <c r="H2650" s="6"/>
    </row>
    <row r="2651" spans="1:8">
      <c r="A2651" s="5">
        <v>2668</v>
      </c>
      <c r="B2651" s="6" t="str">
        <f>"谢芳"</f>
        <v>谢芳</v>
      </c>
      <c r="C2651" s="6" t="str">
        <f t="shared" si="122"/>
        <v>女</v>
      </c>
      <c r="D2651" s="6" t="str">
        <f>"202128020205"</f>
        <v>202128020205</v>
      </c>
      <c r="E2651" s="10" t="s">
        <v>27</v>
      </c>
      <c r="F2651" s="6" t="s">
        <v>10</v>
      </c>
      <c r="G2651" s="8">
        <v>61.15</v>
      </c>
      <c r="H2651" s="6"/>
    </row>
    <row r="2652" spans="1:8">
      <c r="A2652" s="5">
        <v>2751</v>
      </c>
      <c r="B2652" s="6" t="str">
        <f>"赵乐"</f>
        <v>赵乐</v>
      </c>
      <c r="C2652" s="6" t="str">
        <f t="shared" si="122"/>
        <v>女</v>
      </c>
      <c r="D2652" s="6" t="str">
        <f>"202128020206"</f>
        <v>202128020206</v>
      </c>
      <c r="E2652" s="10" t="s">
        <v>27</v>
      </c>
      <c r="F2652" s="6" t="s">
        <v>10</v>
      </c>
      <c r="G2652" s="8">
        <v>53.95</v>
      </c>
      <c r="H2652" s="6"/>
    </row>
    <row r="2653" spans="1:8">
      <c r="A2653" s="5">
        <v>2531</v>
      </c>
      <c r="B2653" s="6" t="str">
        <f>"贺斌"</f>
        <v>贺斌</v>
      </c>
      <c r="C2653" s="6" t="str">
        <f t="shared" si="122"/>
        <v>女</v>
      </c>
      <c r="D2653" s="6" t="str">
        <f>"202128020207"</f>
        <v>202128020207</v>
      </c>
      <c r="E2653" s="10" t="s">
        <v>27</v>
      </c>
      <c r="F2653" s="6" t="s">
        <v>10</v>
      </c>
      <c r="G2653" s="8">
        <v>51.15</v>
      </c>
      <c r="H2653" s="6"/>
    </row>
    <row r="2654" spans="1:8">
      <c r="A2654" s="5">
        <v>2731</v>
      </c>
      <c r="B2654" s="6" t="str">
        <f>"刘海浪"</f>
        <v>刘海浪</v>
      </c>
      <c r="C2654" s="6" t="str">
        <f t="shared" si="122"/>
        <v>女</v>
      </c>
      <c r="D2654" s="6" t="str">
        <f>"202128020208"</f>
        <v>202128020208</v>
      </c>
      <c r="E2654" s="10" t="s">
        <v>27</v>
      </c>
      <c r="F2654" s="6" t="s">
        <v>10</v>
      </c>
      <c r="G2654" s="8">
        <v>62.85</v>
      </c>
      <c r="H2654" s="6"/>
    </row>
    <row r="2655" spans="1:8">
      <c r="A2655" s="5">
        <v>2602</v>
      </c>
      <c r="B2655" s="6" t="str">
        <f>"唐洋"</f>
        <v>唐洋</v>
      </c>
      <c r="C2655" s="6" t="str">
        <f t="shared" si="122"/>
        <v>女</v>
      </c>
      <c r="D2655" s="6" t="str">
        <f>"202128020209"</f>
        <v>202128020209</v>
      </c>
      <c r="E2655" s="10" t="s">
        <v>27</v>
      </c>
      <c r="F2655" s="6" t="s">
        <v>10</v>
      </c>
      <c r="G2655" s="8">
        <v>64.7</v>
      </c>
      <c r="H2655" s="6"/>
    </row>
    <row r="2656" spans="1:8">
      <c r="A2656" s="5">
        <v>2586</v>
      </c>
      <c r="B2656" s="6" t="str">
        <f>"宁念"</f>
        <v>宁念</v>
      </c>
      <c r="C2656" s="6" t="str">
        <f t="shared" si="122"/>
        <v>女</v>
      </c>
      <c r="D2656" s="6" t="str">
        <f>"202128020210"</f>
        <v>202128020210</v>
      </c>
      <c r="E2656" s="10" t="s">
        <v>27</v>
      </c>
      <c r="F2656" s="6" t="s">
        <v>10</v>
      </c>
      <c r="G2656" s="8">
        <v>50</v>
      </c>
      <c r="H2656" s="6"/>
    </row>
    <row r="2657" spans="1:8">
      <c r="A2657" s="5">
        <v>2514</v>
      </c>
      <c r="B2657" s="6" t="str">
        <f>"罗慧娟"</f>
        <v>罗慧娟</v>
      </c>
      <c r="C2657" s="6" t="str">
        <f t="shared" si="122"/>
        <v>女</v>
      </c>
      <c r="D2657" s="6" t="str">
        <f>"202128020211"</f>
        <v>202128020211</v>
      </c>
      <c r="E2657" s="10" t="s">
        <v>27</v>
      </c>
      <c r="F2657" s="6" t="s">
        <v>10</v>
      </c>
      <c r="G2657" s="8">
        <v>61.45</v>
      </c>
      <c r="H2657" s="6"/>
    </row>
    <row r="2658" spans="1:8">
      <c r="A2658" s="5">
        <v>2698</v>
      </c>
      <c r="B2658" s="6" t="str">
        <f>"周巧华"</f>
        <v>周巧华</v>
      </c>
      <c r="C2658" s="6" t="str">
        <f t="shared" si="122"/>
        <v>女</v>
      </c>
      <c r="D2658" s="6" t="str">
        <f>"202128020212"</f>
        <v>202128020212</v>
      </c>
      <c r="E2658" s="10" t="s">
        <v>27</v>
      </c>
      <c r="F2658" s="6" t="s">
        <v>10</v>
      </c>
      <c r="G2658" s="8">
        <v>40.549999999999997</v>
      </c>
      <c r="H2658" s="6"/>
    </row>
    <row r="2659" spans="1:8">
      <c r="A2659" s="5">
        <v>2734</v>
      </c>
      <c r="B2659" s="6" t="str">
        <f>"李莉娜"</f>
        <v>李莉娜</v>
      </c>
      <c r="C2659" s="6" t="str">
        <f t="shared" si="122"/>
        <v>女</v>
      </c>
      <c r="D2659" s="6" t="str">
        <f>"202128020213"</f>
        <v>202128020213</v>
      </c>
      <c r="E2659" s="10" t="s">
        <v>27</v>
      </c>
      <c r="F2659" s="6" t="s">
        <v>10</v>
      </c>
      <c r="G2659" s="8">
        <v>57.45</v>
      </c>
      <c r="H2659" s="6"/>
    </row>
    <row r="2660" spans="1:8">
      <c r="A2660" s="5">
        <v>2511</v>
      </c>
      <c r="B2660" s="6" t="str">
        <f>"高洁"</f>
        <v>高洁</v>
      </c>
      <c r="C2660" s="6" t="str">
        <f t="shared" si="122"/>
        <v>女</v>
      </c>
      <c r="D2660" s="6" t="str">
        <f>"202128020214"</f>
        <v>202128020214</v>
      </c>
      <c r="E2660" s="10" t="s">
        <v>27</v>
      </c>
      <c r="F2660" s="6" t="s">
        <v>10</v>
      </c>
      <c r="G2660" s="8">
        <v>47.1</v>
      </c>
      <c r="H2660" s="6"/>
    </row>
    <row r="2661" spans="1:8">
      <c r="A2661" s="5">
        <v>2569</v>
      </c>
      <c r="B2661" s="6" t="str">
        <f>"唐帆"</f>
        <v>唐帆</v>
      </c>
      <c r="C2661" s="6" t="str">
        <f t="shared" si="122"/>
        <v>女</v>
      </c>
      <c r="D2661" s="6" t="str">
        <f>"202128020215"</f>
        <v>202128020215</v>
      </c>
      <c r="E2661" s="10" t="s">
        <v>27</v>
      </c>
      <c r="F2661" s="6" t="s">
        <v>10</v>
      </c>
      <c r="G2661" s="8">
        <v>57.2</v>
      </c>
      <c r="H2661" s="6"/>
    </row>
    <row r="2662" spans="1:8">
      <c r="A2662" s="5">
        <v>2673</v>
      </c>
      <c r="B2662" s="6" t="str">
        <f>"熊妍"</f>
        <v>熊妍</v>
      </c>
      <c r="C2662" s="6" t="str">
        <f t="shared" si="122"/>
        <v>女</v>
      </c>
      <c r="D2662" s="6" t="str">
        <f>"202128020216"</f>
        <v>202128020216</v>
      </c>
      <c r="E2662" s="10" t="s">
        <v>27</v>
      </c>
      <c r="F2662" s="6" t="s">
        <v>10</v>
      </c>
      <c r="G2662" s="8">
        <v>52</v>
      </c>
      <c r="H2662" s="6"/>
    </row>
    <row r="2663" spans="1:8">
      <c r="A2663" s="5">
        <v>2477</v>
      </c>
      <c r="B2663" s="6" t="str">
        <f>"孙泽屹"</f>
        <v>孙泽屹</v>
      </c>
      <c r="C2663" s="6" t="str">
        <f>"男"</f>
        <v>男</v>
      </c>
      <c r="D2663" s="6" t="str">
        <f>"202128020217"</f>
        <v>202128020217</v>
      </c>
      <c r="E2663" s="10" t="s">
        <v>27</v>
      </c>
      <c r="F2663" s="6" t="s">
        <v>10</v>
      </c>
      <c r="G2663" s="8">
        <v>48.2</v>
      </c>
      <c r="H2663" s="6"/>
    </row>
    <row r="2664" spans="1:8">
      <c r="A2664" s="5">
        <v>2609</v>
      </c>
      <c r="B2664" s="6" t="str">
        <f>"蒲阳洋"</f>
        <v>蒲阳洋</v>
      </c>
      <c r="C2664" s="6" t="str">
        <f>"女"</f>
        <v>女</v>
      </c>
      <c r="D2664" s="6" t="str">
        <f>"202128020218"</f>
        <v>202128020218</v>
      </c>
      <c r="E2664" s="10" t="s">
        <v>27</v>
      </c>
      <c r="F2664" s="6" t="s">
        <v>10</v>
      </c>
      <c r="G2664" s="8">
        <v>55.85</v>
      </c>
      <c r="H2664" s="6"/>
    </row>
    <row r="2665" spans="1:8">
      <c r="A2665" s="5">
        <v>2742</v>
      </c>
      <c r="B2665" s="6" t="str">
        <f>"卢文涛"</f>
        <v>卢文涛</v>
      </c>
      <c r="C2665" s="6" t="str">
        <f>"男"</f>
        <v>男</v>
      </c>
      <c r="D2665" s="6" t="str">
        <f>"202128020219"</f>
        <v>202128020219</v>
      </c>
      <c r="E2665" s="10" t="s">
        <v>27</v>
      </c>
      <c r="F2665" s="6" t="s">
        <v>10</v>
      </c>
      <c r="G2665" s="8">
        <v>30.65</v>
      </c>
      <c r="H2665" s="6"/>
    </row>
    <row r="2666" spans="1:8">
      <c r="A2666" s="5">
        <v>2671</v>
      </c>
      <c r="B2666" s="6" t="str">
        <f>"莫霞"</f>
        <v>莫霞</v>
      </c>
      <c r="C2666" s="6" t="str">
        <f t="shared" ref="C2666:C2687" si="123">"女"</f>
        <v>女</v>
      </c>
      <c r="D2666" s="6" t="str">
        <f>"202128020220"</f>
        <v>202128020220</v>
      </c>
      <c r="E2666" s="10" t="s">
        <v>27</v>
      </c>
      <c r="F2666" s="6" t="s">
        <v>10</v>
      </c>
      <c r="G2666" s="8">
        <v>55.95</v>
      </c>
      <c r="H2666" s="6"/>
    </row>
    <row r="2667" spans="1:8">
      <c r="A2667" s="5">
        <v>2560</v>
      </c>
      <c r="B2667" s="6" t="str">
        <f>"刘小慧"</f>
        <v>刘小慧</v>
      </c>
      <c r="C2667" s="6" t="str">
        <f t="shared" si="123"/>
        <v>女</v>
      </c>
      <c r="D2667" s="6" t="str">
        <f>"202128020221"</f>
        <v>202128020221</v>
      </c>
      <c r="E2667" s="10" t="s">
        <v>27</v>
      </c>
      <c r="F2667" s="6" t="s">
        <v>10</v>
      </c>
      <c r="G2667" s="8">
        <v>65.25</v>
      </c>
      <c r="H2667" s="6"/>
    </row>
    <row r="2668" spans="1:8">
      <c r="A2668" s="5">
        <v>2633</v>
      </c>
      <c r="B2668" s="6" t="str">
        <f>"谢诗芳"</f>
        <v>谢诗芳</v>
      </c>
      <c r="C2668" s="6" t="str">
        <f t="shared" si="123"/>
        <v>女</v>
      </c>
      <c r="D2668" s="6" t="str">
        <f>"202128020222"</f>
        <v>202128020222</v>
      </c>
      <c r="E2668" s="10" t="s">
        <v>27</v>
      </c>
      <c r="F2668" s="6" t="s">
        <v>10</v>
      </c>
      <c r="G2668" s="8">
        <v>49.9</v>
      </c>
      <c r="H2668" s="6"/>
    </row>
    <row r="2669" spans="1:8">
      <c r="A2669" s="5">
        <v>2640</v>
      </c>
      <c r="B2669" s="6" t="str">
        <f>"申梦玲"</f>
        <v>申梦玲</v>
      </c>
      <c r="C2669" s="6" t="str">
        <f t="shared" si="123"/>
        <v>女</v>
      </c>
      <c r="D2669" s="6" t="str">
        <f>"202128020223"</f>
        <v>202128020223</v>
      </c>
      <c r="E2669" s="10" t="s">
        <v>27</v>
      </c>
      <c r="F2669" s="6" t="s">
        <v>10</v>
      </c>
      <c r="G2669" s="8">
        <v>65.95</v>
      </c>
      <c r="H2669" s="6"/>
    </row>
    <row r="2670" spans="1:8">
      <c r="A2670" s="5">
        <v>2456</v>
      </c>
      <c r="B2670" s="6" t="str">
        <f>"唐贝贝"</f>
        <v>唐贝贝</v>
      </c>
      <c r="C2670" s="6" t="str">
        <f t="shared" si="123"/>
        <v>女</v>
      </c>
      <c r="D2670" s="6" t="str">
        <f>"202128020224"</f>
        <v>202128020224</v>
      </c>
      <c r="E2670" s="10" t="s">
        <v>27</v>
      </c>
      <c r="F2670" s="6" t="s">
        <v>10</v>
      </c>
      <c r="G2670" s="8">
        <v>61.15</v>
      </c>
      <c r="H2670" s="6"/>
    </row>
    <row r="2671" spans="1:8">
      <c r="A2671" s="5">
        <v>2661</v>
      </c>
      <c r="B2671" s="6" t="str">
        <f>"曾楚"</f>
        <v>曾楚</v>
      </c>
      <c r="C2671" s="6" t="str">
        <f t="shared" si="123"/>
        <v>女</v>
      </c>
      <c r="D2671" s="6" t="str">
        <f>"202128020225"</f>
        <v>202128020225</v>
      </c>
      <c r="E2671" s="10" t="s">
        <v>27</v>
      </c>
      <c r="F2671" s="6" t="s">
        <v>10</v>
      </c>
      <c r="G2671" s="8">
        <v>64.349999999999994</v>
      </c>
      <c r="H2671" s="6"/>
    </row>
    <row r="2672" spans="1:8">
      <c r="A2672" s="5">
        <v>2642</v>
      </c>
      <c r="B2672" s="6" t="str">
        <f>"陶姣倩"</f>
        <v>陶姣倩</v>
      </c>
      <c r="C2672" s="6" t="str">
        <f t="shared" si="123"/>
        <v>女</v>
      </c>
      <c r="D2672" s="6" t="str">
        <f>"202128020226"</f>
        <v>202128020226</v>
      </c>
      <c r="E2672" s="10" t="s">
        <v>27</v>
      </c>
      <c r="F2672" s="6" t="s">
        <v>10</v>
      </c>
      <c r="G2672" s="8">
        <v>71.349999999999994</v>
      </c>
      <c r="H2672" s="6"/>
    </row>
    <row r="2673" spans="1:8">
      <c r="A2673" s="5">
        <v>2667</v>
      </c>
      <c r="B2673" s="6" t="str">
        <f>"戴鑫辉"</f>
        <v>戴鑫辉</v>
      </c>
      <c r="C2673" s="6" t="str">
        <f t="shared" si="123"/>
        <v>女</v>
      </c>
      <c r="D2673" s="6" t="str">
        <f>"202128020227"</f>
        <v>202128020227</v>
      </c>
      <c r="E2673" s="10" t="s">
        <v>27</v>
      </c>
      <c r="F2673" s="6" t="s">
        <v>10</v>
      </c>
      <c r="G2673" s="8">
        <v>62.35</v>
      </c>
      <c r="H2673" s="6"/>
    </row>
    <row r="2674" spans="1:8">
      <c r="A2674" s="5">
        <v>2598</v>
      </c>
      <c r="B2674" s="6" t="str">
        <f>"陈嘉惠"</f>
        <v>陈嘉惠</v>
      </c>
      <c r="C2674" s="6" t="str">
        <f t="shared" si="123"/>
        <v>女</v>
      </c>
      <c r="D2674" s="6" t="str">
        <f>"202128020228"</f>
        <v>202128020228</v>
      </c>
      <c r="E2674" s="10" t="s">
        <v>27</v>
      </c>
      <c r="F2674" s="6" t="s">
        <v>10</v>
      </c>
      <c r="G2674" s="8">
        <v>55.45</v>
      </c>
      <c r="H2674" s="6"/>
    </row>
    <row r="2675" spans="1:8">
      <c r="A2675" s="5">
        <v>2628</v>
      </c>
      <c r="B2675" s="6" t="str">
        <f>"董远梦"</f>
        <v>董远梦</v>
      </c>
      <c r="C2675" s="6" t="str">
        <f t="shared" si="123"/>
        <v>女</v>
      </c>
      <c r="D2675" s="6" t="str">
        <f>"202128020229"</f>
        <v>202128020229</v>
      </c>
      <c r="E2675" s="10" t="s">
        <v>27</v>
      </c>
      <c r="F2675" s="6" t="s">
        <v>10</v>
      </c>
      <c r="G2675" s="8">
        <v>62.1</v>
      </c>
      <c r="H2675" s="6"/>
    </row>
    <row r="2676" spans="1:8">
      <c r="A2676" s="5">
        <v>2520</v>
      </c>
      <c r="B2676" s="6" t="str">
        <f>"刘源"</f>
        <v>刘源</v>
      </c>
      <c r="C2676" s="6" t="str">
        <f t="shared" si="123"/>
        <v>女</v>
      </c>
      <c r="D2676" s="6" t="str">
        <f>"202128020230"</f>
        <v>202128020230</v>
      </c>
      <c r="E2676" s="10" t="s">
        <v>27</v>
      </c>
      <c r="F2676" s="6" t="s">
        <v>10</v>
      </c>
      <c r="G2676" s="8">
        <v>59.65</v>
      </c>
      <c r="H2676" s="6"/>
    </row>
    <row r="2677" spans="1:8">
      <c r="A2677" s="5">
        <v>2737</v>
      </c>
      <c r="B2677" s="6" t="str">
        <f>"朱雨蕾"</f>
        <v>朱雨蕾</v>
      </c>
      <c r="C2677" s="6" t="str">
        <f t="shared" si="123"/>
        <v>女</v>
      </c>
      <c r="D2677" s="6" t="str">
        <f>"202128020301"</f>
        <v>202128020301</v>
      </c>
      <c r="E2677" s="10" t="s">
        <v>27</v>
      </c>
      <c r="F2677" s="6" t="s">
        <v>10</v>
      </c>
      <c r="G2677" s="8">
        <v>69.75</v>
      </c>
      <c r="H2677" s="6"/>
    </row>
    <row r="2678" spans="1:8">
      <c r="A2678" s="5">
        <v>2563</v>
      </c>
      <c r="B2678" s="6" t="str">
        <f>"郭冬娥"</f>
        <v>郭冬娥</v>
      </c>
      <c r="C2678" s="6" t="str">
        <f t="shared" si="123"/>
        <v>女</v>
      </c>
      <c r="D2678" s="6" t="str">
        <f>"202128020302"</f>
        <v>202128020302</v>
      </c>
      <c r="E2678" s="10" t="s">
        <v>27</v>
      </c>
      <c r="F2678" s="6" t="s">
        <v>10</v>
      </c>
      <c r="G2678" s="8">
        <v>57.3</v>
      </c>
      <c r="H2678" s="6"/>
    </row>
    <row r="2679" spans="1:8">
      <c r="A2679" s="5">
        <v>2490</v>
      </c>
      <c r="B2679" s="6" t="str">
        <f>"邓佩"</f>
        <v>邓佩</v>
      </c>
      <c r="C2679" s="6" t="str">
        <f t="shared" si="123"/>
        <v>女</v>
      </c>
      <c r="D2679" s="6" t="str">
        <f>"202128020303"</f>
        <v>202128020303</v>
      </c>
      <c r="E2679" s="10" t="s">
        <v>27</v>
      </c>
      <c r="F2679" s="6" t="s">
        <v>10</v>
      </c>
      <c r="G2679" s="8">
        <v>61.65</v>
      </c>
      <c r="H2679" s="6"/>
    </row>
    <row r="2680" spans="1:8">
      <c r="A2680" s="5">
        <v>2725</v>
      </c>
      <c r="B2680" s="6" t="str">
        <f>"周菥如"</f>
        <v>周菥如</v>
      </c>
      <c r="C2680" s="6" t="str">
        <f t="shared" si="123"/>
        <v>女</v>
      </c>
      <c r="D2680" s="6" t="str">
        <f>"202128020304"</f>
        <v>202128020304</v>
      </c>
      <c r="E2680" s="10" t="s">
        <v>27</v>
      </c>
      <c r="F2680" s="6" t="s">
        <v>10</v>
      </c>
      <c r="G2680" s="8">
        <v>56.75</v>
      </c>
      <c r="H2680" s="6"/>
    </row>
    <row r="2681" spans="1:8">
      <c r="A2681" s="5">
        <v>2584</v>
      </c>
      <c r="B2681" s="6" t="str">
        <f>"朱苑瑞"</f>
        <v>朱苑瑞</v>
      </c>
      <c r="C2681" s="6" t="str">
        <f t="shared" si="123"/>
        <v>女</v>
      </c>
      <c r="D2681" s="6" t="str">
        <f>"202128020305"</f>
        <v>202128020305</v>
      </c>
      <c r="E2681" s="10" t="s">
        <v>27</v>
      </c>
      <c r="F2681" s="6" t="s">
        <v>10</v>
      </c>
      <c r="G2681" s="8">
        <v>55.25</v>
      </c>
      <c r="H2681" s="6"/>
    </row>
    <row r="2682" spans="1:8">
      <c r="A2682" s="5">
        <v>2548</v>
      </c>
      <c r="B2682" s="6" t="str">
        <f>"毛丹"</f>
        <v>毛丹</v>
      </c>
      <c r="C2682" s="6" t="str">
        <f t="shared" si="123"/>
        <v>女</v>
      </c>
      <c r="D2682" s="6" t="str">
        <f>"202128020306"</f>
        <v>202128020306</v>
      </c>
      <c r="E2682" s="10" t="s">
        <v>27</v>
      </c>
      <c r="F2682" s="6" t="s">
        <v>10</v>
      </c>
      <c r="G2682" s="8">
        <v>60.15</v>
      </c>
      <c r="H2682" s="6"/>
    </row>
    <row r="2683" spans="1:8">
      <c r="A2683" s="5">
        <v>2690</v>
      </c>
      <c r="B2683" s="6" t="str">
        <f>"杨子姻"</f>
        <v>杨子姻</v>
      </c>
      <c r="C2683" s="6" t="str">
        <f t="shared" si="123"/>
        <v>女</v>
      </c>
      <c r="D2683" s="6" t="str">
        <f>"202128020307"</f>
        <v>202128020307</v>
      </c>
      <c r="E2683" s="10" t="s">
        <v>27</v>
      </c>
      <c r="F2683" s="6" t="s">
        <v>10</v>
      </c>
      <c r="G2683" s="8">
        <v>57.7</v>
      </c>
      <c r="H2683" s="6"/>
    </row>
    <row r="2684" spans="1:8">
      <c r="A2684" s="5">
        <v>2749</v>
      </c>
      <c r="B2684" s="6" t="str">
        <f>"龙珊"</f>
        <v>龙珊</v>
      </c>
      <c r="C2684" s="6" t="str">
        <f t="shared" si="123"/>
        <v>女</v>
      </c>
      <c r="D2684" s="6" t="str">
        <f>"202128020308"</f>
        <v>202128020308</v>
      </c>
      <c r="E2684" s="10" t="s">
        <v>27</v>
      </c>
      <c r="F2684" s="6" t="s">
        <v>10</v>
      </c>
      <c r="G2684" s="8">
        <v>57.45</v>
      </c>
      <c r="H2684" s="6"/>
    </row>
    <row r="2685" spans="1:8">
      <c r="A2685" s="5">
        <v>2710</v>
      </c>
      <c r="B2685" s="6" t="str">
        <f>"李姿熳"</f>
        <v>李姿熳</v>
      </c>
      <c r="C2685" s="6" t="str">
        <f t="shared" si="123"/>
        <v>女</v>
      </c>
      <c r="D2685" s="6" t="str">
        <f>"202128020309"</f>
        <v>202128020309</v>
      </c>
      <c r="E2685" s="10" t="s">
        <v>27</v>
      </c>
      <c r="F2685" s="6" t="s">
        <v>10</v>
      </c>
      <c r="G2685" s="8">
        <v>62</v>
      </c>
      <c r="H2685" s="6"/>
    </row>
    <row r="2686" spans="1:8">
      <c r="A2686" s="5">
        <v>2649</v>
      </c>
      <c r="B2686" s="6" t="str">
        <f>"肖清"</f>
        <v>肖清</v>
      </c>
      <c r="C2686" s="6" t="str">
        <f t="shared" si="123"/>
        <v>女</v>
      </c>
      <c r="D2686" s="6" t="str">
        <f>"202128020310"</f>
        <v>202128020310</v>
      </c>
      <c r="E2686" s="10" t="s">
        <v>27</v>
      </c>
      <c r="F2686" s="6" t="s">
        <v>10</v>
      </c>
      <c r="G2686" s="8">
        <v>60.9</v>
      </c>
      <c r="H2686" s="6"/>
    </row>
    <row r="2687" spans="1:8">
      <c r="A2687" s="5">
        <v>2680</v>
      </c>
      <c r="B2687" s="6" t="str">
        <f>"肖丽群"</f>
        <v>肖丽群</v>
      </c>
      <c r="C2687" s="6" t="str">
        <f t="shared" si="123"/>
        <v>女</v>
      </c>
      <c r="D2687" s="6" t="str">
        <f>"202128020311"</f>
        <v>202128020311</v>
      </c>
      <c r="E2687" s="10" t="s">
        <v>27</v>
      </c>
      <c r="F2687" s="6" t="s">
        <v>10</v>
      </c>
      <c r="G2687" s="8">
        <v>57.75</v>
      </c>
      <c r="H2687" s="6"/>
    </row>
    <row r="2688" spans="1:8">
      <c r="A2688" s="5">
        <v>2658</v>
      </c>
      <c r="B2688" s="6" t="str">
        <f>"李茂富"</f>
        <v>李茂富</v>
      </c>
      <c r="C2688" s="6" t="str">
        <f>"男"</f>
        <v>男</v>
      </c>
      <c r="D2688" s="6" t="str">
        <f>"202128020312"</f>
        <v>202128020312</v>
      </c>
      <c r="E2688" s="10" t="s">
        <v>27</v>
      </c>
      <c r="F2688" s="6" t="s">
        <v>10</v>
      </c>
      <c r="G2688" s="8">
        <v>56.5</v>
      </c>
      <c r="H2688" s="6"/>
    </row>
    <row r="2689" spans="1:8">
      <c r="A2689" s="5">
        <v>2608</v>
      </c>
      <c r="B2689" s="6" t="str">
        <f>"李阳"</f>
        <v>李阳</v>
      </c>
      <c r="C2689" s="6" t="str">
        <f t="shared" ref="C2689:C2712" si="124">"女"</f>
        <v>女</v>
      </c>
      <c r="D2689" s="6" t="str">
        <f>"202128020313"</f>
        <v>202128020313</v>
      </c>
      <c r="E2689" s="10" t="s">
        <v>27</v>
      </c>
      <c r="F2689" s="6" t="s">
        <v>10</v>
      </c>
      <c r="G2689" s="8">
        <v>57.85</v>
      </c>
      <c r="H2689" s="6"/>
    </row>
    <row r="2690" spans="1:8">
      <c r="A2690" s="5">
        <v>2683</v>
      </c>
      <c r="B2690" s="6" t="str">
        <f>"  蒋颖"</f>
        <v>蒋颖</v>
      </c>
      <c r="C2690" s="6" t="str">
        <f t="shared" si="124"/>
        <v>女</v>
      </c>
      <c r="D2690" s="6" t="str">
        <f>"202128020314"</f>
        <v>202128020314</v>
      </c>
      <c r="E2690" s="10" t="s">
        <v>27</v>
      </c>
      <c r="F2690" s="6" t="s">
        <v>10</v>
      </c>
      <c r="G2690" s="8">
        <v>58.9</v>
      </c>
      <c r="H2690" s="6"/>
    </row>
    <row r="2691" spans="1:8">
      <c r="A2691" s="5">
        <v>2460</v>
      </c>
      <c r="B2691" s="6" t="str">
        <f>"陈章"</f>
        <v>陈章</v>
      </c>
      <c r="C2691" s="6" t="str">
        <f t="shared" si="124"/>
        <v>女</v>
      </c>
      <c r="D2691" s="6" t="str">
        <f>"202128020315"</f>
        <v>202128020315</v>
      </c>
      <c r="E2691" s="10" t="s">
        <v>27</v>
      </c>
      <c r="F2691" s="6" t="s">
        <v>10</v>
      </c>
      <c r="G2691" s="8">
        <v>57.8</v>
      </c>
      <c r="H2691" s="6"/>
    </row>
    <row r="2692" spans="1:8">
      <c r="A2692" s="5">
        <v>2526</v>
      </c>
      <c r="B2692" s="6" t="str">
        <f>"吴丽霞"</f>
        <v>吴丽霞</v>
      </c>
      <c r="C2692" s="6" t="str">
        <f t="shared" si="124"/>
        <v>女</v>
      </c>
      <c r="D2692" s="6" t="str">
        <f>"202128020316"</f>
        <v>202128020316</v>
      </c>
      <c r="E2692" s="10" t="s">
        <v>27</v>
      </c>
      <c r="F2692" s="6" t="s">
        <v>10</v>
      </c>
      <c r="G2692" s="8">
        <v>53.45</v>
      </c>
      <c r="H2692" s="6"/>
    </row>
    <row r="2693" spans="1:8">
      <c r="A2693" s="5">
        <v>2556</v>
      </c>
      <c r="B2693" s="6" t="str">
        <f>"曾天叶"</f>
        <v>曾天叶</v>
      </c>
      <c r="C2693" s="6" t="str">
        <f t="shared" si="124"/>
        <v>女</v>
      </c>
      <c r="D2693" s="6" t="str">
        <f>"202128020317"</f>
        <v>202128020317</v>
      </c>
      <c r="E2693" s="10" t="s">
        <v>27</v>
      </c>
      <c r="F2693" s="6" t="s">
        <v>10</v>
      </c>
      <c r="G2693" s="8">
        <v>45.65</v>
      </c>
      <c r="H2693" s="6"/>
    </row>
    <row r="2694" spans="1:8">
      <c r="A2694" s="5">
        <v>2682</v>
      </c>
      <c r="B2694" s="6" t="str">
        <f>"林蓉"</f>
        <v>林蓉</v>
      </c>
      <c r="C2694" s="6" t="str">
        <f t="shared" si="124"/>
        <v>女</v>
      </c>
      <c r="D2694" s="6" t="str">
        <f>"202128020318"</f>
        <v>202128020318</v>
      </c>
      <c r="E2694" s="10" t="s">
        <v>27</v>
      </c>
      <c r="F2694" s="6" t="s">
        <v>10</v>
      </c>
      <c r="G2694" s="8">
        <v>55</v>
      </c>
      <c r="H2694" s="6"/>
    </row>
    <row r="2695" spans="1:8">
      <c r="A2695" s="5">
        <v>2726</v>
      </c>
      <c r="B2695" s="6" t="str">
        <f>"黄倩"</f>
        <v>黄倩</v>
      </c>
      <c r="C2695" s="6" t="str">
        <f t="shared" si="124"/>
        <v>女</v>
      </c>
      <c r="D2695" s="6" t="str">
        <f>"202128020319"</f>
        <v>202128020319</v>
      </c>
      <c r="E2695" s="10" t="s">
        <v>27</v>
      </c>
      <c r="F2695" s="6" t="s">
        <v>10</v>
      </c>
      <c r="G2695" s="8">
        <v>59.65</v>
      </c>
      <c r="H2695" s="6"/>
    </row>
    <row r="2696" spans="1:8">
      <c r="A2696" s="5">
        <v>2567</v>
      </c>
      <c r="B2696" s="6" t="str">
        <f>"周慧"</f>
        <v>周慧</v>
      </c>
      <c r="C2696" s="6" t="str">
        <f t="shared" si="124"/>
        <v>女</v>
      </c>
      <c r="D2696" s="6" t="str">
        <f>"202128020320"</f>
        <v>202128020320</v>
      </c>
      <c r="E2696" s="10" t="s">
        <v>27</v>
      </c>
      <c r="F2696" s="6" t="s">
        <v>10</v>
      </c>
      <c r="G2696" s="8">
        <v>60.75</v>
      </c>
      <c r="H2696" s="6"/>
    </row>
    <row r="2697" spans="1:8">
      <c r="A2697" s="5">
        <v>2472</v>
      </c>
      <c r="B2697" s="6" t="str">
        <f>"曾思琪"</f>
        <v>曾思琪</v>
      </c>
      <c r="C2697" s="6" t="str">
        <f t="shared" si="124"/>
        <v>女</v>
      </c>
      <c r="D2697" s="6" t="str">
        <f>"202128020321"</f>
        <v>202128020321</v>
      </c>
      <c r="E2697" s="10" t="s">
        <v>27</v>
      </c>
      <c r="F2697" s="6" t="s">
        <v>10</v>
      </c>
      <c r="G2697" s="8">
        <v>61.2</v>
      </c>
      <c r="H2697" s="6"/>
    </row>
    <row r="2698" spans="1:8">
      <c r="A2698" s="5">
        <v>2738</v>
      </c>
      <c r="B2698" s="6" t="str">
        <f>"杨环有"</f>
        <v>杨环有</v>
      </c>
      <c r="C2698" s="6" t="str">
        <f t="shared" si="124"/>
        <v>女</v>
      </c>
      <c r="D2698" s="6" t="str">
        <f>"202128020322"</f>
        <v>202128020322</v>
      </c>
      <c r="E2698" s="10" t="s">
        <v>27</v>
      </c>
      <c r="F2698" s="6" t="s">
        <v>10</v>
      </c>
      <c r="G2698" s="8">
        <v>49.7</v>
      </c>
      <c r="H2698" s="6"/>
    </row>
    <row r="2699" spans="1:8">
      <c r="A2699" s="5">
        <v>2740</v>
      </c>
      <c r="B2699" s="6" t="str">
        <f>"朱雯静"</f>
        <v>朱雯静</v>
      </c>
      <c r="C2699" s="6" t="str">
        <f t="shared" si="124"/>
        <v>女</v>
      </c>
      <c r="D2699" s="6" t="str">
        <f>"202128020323"</f>
        <v>202128020323</v>
      </c>
      <c r="E2699" s="10" t="s">
        <v>27</v>
      </c>
      <c r="F2699" s="6" t="s">
        <v>10</v>
      </c>
      <c r="G2699" s="8">
        <v>64.05</v>
      </c>
      <c r="H2699" s="6"/>
    </row>
    <row r="2700" spans="1:8">
      <c r="A2700" s="5">
        <v>2709</v>
      </c>
      <c r="B2700" s="6" t="str">
        <f>"马星"</f>
        <v>马星</v>
      </c>
      <c r="C2700" s="6" t="str">
        <f t="shared" si="124"/>
        <v>女</v>
      </c>
      <c r="D2700" s="6" t="str">
        <f>"202128020324"</f>
        <v>202128020324</v>
      </c>
      <c r="E2700" s="10" t="s">
        <v>27</v>
      </c>
      <c r="F2700" s="6" t="s">
        <v>10</v>
      </c>
      <c r="G2700" s="8">
        <v>64.150000000000006</v>
      </c>
      <c r="H2700" s="6"/>
    </row>
    <row r="2701" spans="1:8">
      <c r="A2701" s="5">
        <v>2708</v>
      </c>
      <c r="B2701" s="6" t="str">
        <f>"姚胜男"</f>
        <v>姚胜男</v>
      </c>
      <c r="C2701" s="6" t="str">
        <f t="shared" si="124"/>
        <v>女</v>
      </c>
      <c r="D2701" s="6" t="str">
        <f>"202128020325"</f>
        <v>202128020325</v>
      </c>
      <c r="E2701" s="10" t="s">
        <v>27</v>
      </c>
      <c r="F2701" s="6" t="s">
        <v>10</v>
      </c>
      <c r="G2701" s="8">
        <v>64.599999999999994</v>
      </c>
      <c r="H2701" s="6"/>
    </row>
    <row r="2702" spans="1:8">
      <c r="A2702" s="5">
        <v>2579</v>
      </c>
      <c r="B2702" s="6" t="str">
        <f>"张芹"</f>
        <v>张芹</v>
      </c>
      <c r="C2702" s="6" t="str">
        <f t="shared" si="124"/>
        <v>女</v>
      </c>
      <c r="D2702" s="6" t="str">
        <f>"202128020326"</f>
        <v>202128020326</v>
      </c>
      <c r="E2702" s="10" t="s">
        <v>27</v>
      </c>
      <c r="F2702" s="6" t="s">
        <v>10</v>
      </c>
      <c r="G2702" s="8">
        <v>56.35</v>
      </c>
      <c r="H2702" s="6"/>
    </row>
    <row r="2703" spans="1:8">
      <c r="A2703" s="5">
        <v>2733</v>
      </c>
      <c r="B2703" s="6" t="str">
        <f>"曾宇仪"</f>
        <v>曾宇仪</v>
      </c>
      <c r="C2703" s="6" t="str">
        <f t="shared" si="124"/>
        <v>女</v>
      </c>
      <c r="D2703" s="6" t="str">
        <f>"202128020327"</f>
        <v>202128020327</v>
      </c>
      <c r="E2703" s="10" t="s">
        <v>27</v>
      </c>
      <c r="F2703" s="6" t="s">
        <v>10</v>
      </c>
      <c r="G2703" s="8">
        <v>50.3</v>
      </c>
      <c r="H2703" s="6"/>
    </row>
    <row r="2704" spans="1:8">
      <c r="A2704" s="5">
        <v>2611</v>
      </c>
      <c r="B2704" s="6" t="str">
        <f>"杨喜媚"</f>
        <v>杨喜媚</v>
      </c>
      <c r="C2704" s="6" t="str">
        <f t="shared" si="124"/>
        <v>女</v>
      </c>
      <c r="D2704" s="6" t="str">
        <f>"202128020328"</f>
        <v>202128020328</v>
      </c>
      <c r="E2704" s="10" t="s">
        <v>27</v>
      </c>
      <c r="F2704" s="6" t="s">
        <v>10</v>
      </c>
      <c r="G2704" s="8">
        <v>61.9</v>
      </c>
      <c r="H2704" s="6"/>
    </row>
    <row r="2705" spans="1:8">
      <c r="A2705" s="5">
        <v>2483</v>
      </c>
      <c r="B2705" s="6" t="str">
        <f>"瞿静茹"</f>
        <v>瞿静茹</v>
      </c>
      <c r="C2705" s="6" t="str">
        <f t="shared" si="124"/>
        <v>女</v>
      </c>
      <c r="D2705" s="6" t="str">
        <f>"202128020329"</f>
        <v>202128020329</v>
      </c>
      <c r="E2705" s="10" t="s">
        <v>27</v>
      </c>
      <c r="F2705" s="6" t="s">
        <v>10</v>
      </c>
      <c r="G2705" s="8">
        <v>47.6</v>
      </c>
      <c r="H2705" s="6"/>
    </row>
    <row r="2706" spans="1:8">
      <c r="A2706" s="5">
        <v>2478</v>
      </c>
      <c r="B2706" s="6" t="str">
        <f>"李思瑶"</f>
        <v>李思瑶</v>
      </c>
      <c r="C2706" s="6" t="str">
        <f t="shared" si="124"/>
        <v>女</v>
      </c>
      <c r="D2706" s="6" t="str">
        <f>"202128020330"</f>
        <v>202128020330</v>
      </c>
      <c r="E2706" s="10" t="s">
        <v>27</v>
      </c>
      <c r="F2706" s="6" t="s">
        <v>10</v>
      </c>
      <c r="G2706" s="8">
        <v>63.1</v>
      </c>
      <c r="H2706" s="6"/>
    </row>
    <row r="2707" spans="1:8">
      <c r="A2707" s="5">
        <v>2524</v>
      </c>
      <c r="B2707" s="6" t="str">
        <f>"彭雨田"</f>
        <v>彭雨田</v>
      </c>
      <c r="C2707" s="6" t="str">
        <f t="shared" si="124"/>
        <v>女</v>
      </c>
      <c r="D2707" s="6" t="str">
        <f>"202128020401"</f>
        <v>202128020401</v>
      </c>
      <c r="E2707" s="10" t="s">
        <v>27</v>
      </c>
      <c r="F2707" s="6" t="s">
        <v>10</v>
      </c>
      <c r="G2707" s="8">
        <v>66.849999999999994</v>
      </c>
      <c r="H2707" s="6"/>
    </row>
    <row r="2708" spans="1:8">
      <c r="A2708" s="5">
        <v>2594</v>
      </c>
      <c r="B2708" s="6" t="str">
        <f>"肖祝红"</f>
        <v>肖祝红</v>
      </c>
      <c r="C2708" s="6" t="str">
        <f t="shared" si="124"/>
        <v>女</v>
      </c>
      <c r="D2708" s="6" t="str">
        <f>"202128020402"</f>
        <v>202128020402</v>
      </c>
      <c r="E2708" s="10" t="s">
        <v>27</v>
      </c>
      <c r="F2708" s="6" t="s">
        <v>10</v>
      </c>
      <c r="G2708" s="8">
        <v>54.2</v>
      </c>
      <c r="H2708" s="6"/>
    </row>
    <row r="2709" spans="1:8">
      <c r="A2709" s="5">
        <v>2574</v>
      </c>
      <c r="B2709" s="6" t="str">
        <f>"王舒婷"</f>
        <v>王舒婷</v>
      </c>
      <c r="C2709" s="6" t="str">
        <f t="shared" si="124"/>
        <v>女</v>
      </c>
      <c r="D2709" s="6" t="str">
        <f>"202128020403"</f>
        <v>202128020403</v>
      </c>
      <c r="E2709" s="10" t="s">
        <v>27</v>
      </c>
      <c r="F2709" s="6" t="s">
        <v>10</v>
      </c>
      <c r="G2709" s="8">
        <v>60.55</v>
      </c>
      <c r="H2709" s="6"/>
    </row>
    <row r="2710" spans="1:8">
      <c r="A2710" s="5">
        <v>2532</v>
      </c>
      <c r="B2710" s="6" t="str">
        <f>"覃玲玲"</f>
        <v>覃玲玲</v>
      </c>
      <c r="C2710" s="6" t="str">
        <f t="shared" si="124"/>
        <v>女</v>
      </c>
      <c r="D2710" s="6" t="str">
        <f>"202128020404"</f>
        <v>202128020404</v>
      </c>
      <c r="E2710" s="10" t="s">
        <v>27</v>
      </c>
      <c r="F2710" s="6" t="s">
        <v>10</v>
      </c>
      <c r="G2710" s="8">
        <v>55</v>
      </c>
      <c r="H2710" s="6"/>
    </row>
    <row r="2711" spans="1:8">
      <c r="A2711" s="5">
        <v>2523</v>
      </c>
      <c r="B2711" s="6" t="str">
        <f>"蒋薇"</f>
        <v>蒋薇</v>
      </c>
      <c r="C2711" s="6" t="str">
        <f t="shared" si="124"/>
        <v>女</v>
      </c>
      <c r="D2711" s="6" t="str">
        <f>"202128020405"</f>
        <v>202128020405</v>
      </c>
      <c r="E2711" s="10" t="s">
        <v>27</v>
      </c>
      <c r="F2711" s="6" t="s">
        <v>10</v>
      </c>
      <c r="G2711" s="8">
        <v>66.150000000000006</v>
      </c>
      <c r="H2711" s="6"/>
    </row>
    <row r="2712" spans="1:8">
      <c r="A2712" s="5">
        <v>2744</v>
      </c>
      <c r="B2712" s="6" t="str">
        <f>"尹波灵"</f>
        <v>尹波灵</v>
      </c>
      <c r="C2712" s="6" t="str">
        <f t="shared" si="124"/>
        <v>女</v>
      </c>
      <c r="D2712" s="6" t="str">
        <f>"202128020406"</f>
        <v>202128020406</v>
      </c>
      <c r="E2712" s="10" t="s">
        <v>27</v>
      </c>
      <c r="F2712" s="6" t="s">
        <v>10</v>
      </c>
      <c r="G2712" s="8">
        <v>61.85</v>
      </c>
      <c r="H2712" s="6"/>
    </row>
    <row r="2713" spans="1:8">
      <c r="A2713" s="5">
        <v>2735</v>
      </c>
      <c r="B2713" s="6" t="str">
        <f>"罗淇誉"</f>
        <v>罗淇誉</v>
      </c>
      <c r="C2713" s="6" t="str">
        <f>"男"</f>
        <v>男</v>
      </c>
      <c r="D2713" s="6" t="str">
        <f>"202128020407"</f>
        <v>202128020407</v>
      </c>
      <c r="E2713" s="10" t="s">
        <v>27</v>
      </c>
      <c r="F2713" s="6" t="s">
        <v>10</v>
      </c>
      <c r="G2713" s="8">
        <v>0</v>
      </c>
      <c r="H2713" s="9">
        <v>1</v>
      </c>
    </row>
    <row r="2714" spans="1:8">
      <c r="A2714" s="5">
        <v>2715</v>
      </c>
      <c r="B2714" s="6" t="str">
        <f>"缪桂花"</f>
        <v>缪桂花</v>
      </c>
      <c r="C2714" s="6" t="str">
        <f t="shared" ref="C2714:C2744" si="125">"女"</f>
        <v>女</v>
      </c>
      <c r="D2714" s="6" t="str">
        <f>"202128020408"</f>
        <v>202128020408</v>
      </c>
      <c r="E2714" s="10" t="s">
        <v>27</v>
      </c>
      <c r="F2714" s="6" t="s">
        <v>10</v>
      </c>
      <c r="G2714" s="8">
        <v>56.2</v>
      </c>
      <c r="H2714" s="6"/>
    </row>
    <row r="2715" spans="1:8">
      <c r="A2715" s="5">
        <v>2728</v>
      </c>
      <c r="B2715" s="6" t="str">
        <f>"冯双玲"</f>
        <v>冯双玲</v>
      </c>
      <c r="C2715" s="6" t="str">
        <f t="shared" si="125"/>
        <v>女</v>
      </c>
      <c r="D2715" s="6" t="str">
        <f>"202128020409"</f>
        <v>202128020409</v>
      </c>
      <c r="E2715" s="10" t="s">
        <v>27</v>
      </c>
      <c r="F2715" s="6" t="s">
        <v>10</v>
      </c>
      <c r="G2715" s="8">
        <v>58.8</v>
      </c>
      <c r="H2715" s="6"/>
    </row>
    <row r="2716" spans="1:8">
      <c r="A2716" s="5">
        <v>2596</v>
      </c>
      <c r="B2716" s="6" t="str">
        <f>"彭焮楊"</f>
        <v>彭焮楊</v>
      </c>
      <c r="C2716" s="6" t="str">
        <f t="shared" si="125"/>
        <v>女</v>
      </c>
      <c r="D2716" s="6" t="str">
        <f>"202128020410"</f>
        <v>202128020410</v>
      </c>
      <c r="E2716" s="10" t="s">
        <v>27</v>
      </c>
      <c r="F2716" s="6" t="s">
        <v>10</v>
      </c>
      <c r="G2716" s="8">
        <v>55.85</v>
      </c>
      <c r="H2716" s="6"/>
    </row>
    <row r="2717" spans="1:8">
      <c r="A2717" s="5">
        <v>2500</v>
      </c>
      <c r="B2717" s="6" t="str">
        <f>"石慧琴"</f>
        <v>石慧琴</v>
      </c>
      <c r="C2717" s="6" t="str">
        <f t="shared" si="125"/>
        <v>女</v>
      </c>
      <c r="D2717" s="6" t="str">
        <f>"202128020411"</f>
        <v>202128020411</v>
      </c>
      <c r="E2717" s="10" t="s">
        <v>27</v>
      </c>
      <c r="F2717" s="6" t="s">
        <v>10</v>
      </c>
      <c r="G2717" s="8">
        <v>49.65</v>
      </c>
      <c r="H2717" s="6"/>
    </row>
    <row r="2718" spans="1:8">
      <c r="A2718" s="5">
        <v>2621</v>
      </c>
      <c r="B2718" s="6" t="str">
        <f>"李梦谭"</f>
        <v>李梦谭</v>
      </c>
      <c r="C2718" s="6" t="str">
        <f t="shared" si="125"/>
        <v>女</v>
      </c>
      <c r="D2718" s="6" t="str">
        <f>"202128020412"</f>
        <v>202128020412</v>
      </c>
      <c r="E2718" s="10" t="s">
        <v>27</v>
      </c>
      <c r="F2718" s="6" t="s">
        <v>10</v>
      </c>
      <c r="G2718" s="8">
        <v>68.25</v>
      </c>
      <c r="H2718" s="6"/>
    </row>
    <row r="2719" spans="1:8">
      <c r="A2719" s="5">
        <v>2681</v>
      </c>
      <c r="B2719" s="6" t="str">
        <f>"陈慧菊"</f>
        <v>陈慧菊</v>
      </c>
      <c r="C2719" s="6" t="str">
        <f t="shared" si="125"/>
        <v>女</v>
      </c>
      <c r="D2719" s="6" t="str">
        <f>"202128020413"</f>
        <v>202128020413</v>
      </c>
      <c r="E2719" s="10" t="s">
        <v>27</v>
      </c>
      <c r="F2719" s="6" t="s">
        <v>10</v>
      </c>
      <c r="G2719" s="8">
        <v>44.15</v>
      </c>
      <c r="H2719" s="6"/>
    </row>
    <row r="2720" spans="1:8">
      <c r="A2720" s="5">
        <v>2625</v>
      </c>
      <c r="B2720" s="6" t="str">
        <f>"唐珂"</f>
        <v>唐珂</v>
      </c>
      <c r="C2720" s="6" t="str">
        <f t="shared" si="125"/>
        <v>女</v>
      </c>
      <c r="D2720" s="6" t="str">
        <f>"202128020414"</f>
        <v>202128020414</v>
      </c>
      <c r="E2720" s="10" t="s">
        <v>27</v>
      </c>
      <c r="F2720" s="6" t="s">
        <v>10</v>
      </c>
      <c r="G2720" s="8">
        <v>60.3</v>
      </c>
      <c r="H2720" s="6"/>
    </row>
    <row r="2721" spans="1:8">
      <c r="A2721" s="5">
        <v>2654</v>
      </c>
      <c r="B2721" s="6" t="str">
        <f>"刘丹丹"</f>
        <v>刘丹丹</v>
      </c>
      <c r="C2721" s="6" t="str">
        <f t="shared" si="125"/>
        <v>女</v>
      </c>
      <c r="D2721" s="6" t="str">
        <f>"202128020415"</f>
        <v>202128020415</v>
      </c>
      <c r="E2721" s="10" t="s">
        <v>27</v>
      </c>
      <c r="F2721" s="6" t="s">
        <v>10</v>
      </c>
      <c r="G2721" s="8">
        <v>51.25</v>
      </c>
      <c r="H2721" s="6"/>
    </row>
    <row r="2722" spans="1:8">
      <c r="A2722" s="5">
        <v>2450</v>
      </c>
      <c r="B2722" s="6" t="str">
        <f>"黄鹤"</f>
        <v>黄鹤</v>
      </c>
      <c r="C2722" s="6" t="str">
        <f t="shared" si="125"/>
        <v>女</v>
      </c>
      <c r="D2722" s="6" t="str">
        <f>"202128020416"</f>
        <v>202128020416</v>
      </c>
      <c r="E2722" s="10" t="s">
        <v>27</v>
      </c>
      <c r="F2722" s="6" t="s">
        <v>10</v>
      </c>
      <c r="G2722" s="8">
        <v>51.15</v>
      </c>
      <c r="H2722" s="6"/>
    </row>
    <row r="2723" spans="1:8">
      <c r="A2723" s="5">
        <v>2543</v>
      </c>
      <c r="B2723" s="6" t="str">
        <f>"曾月月"</f>
        <v>曾月月</v>
      </c>
      <c r="C2723" s="6" t="str">
        <f t="shared" si="125"/>
        <v>女</v>
      </c>
      <c r="D2723" s="6" t="str">
        <f>"202128020417"</f>
        <v>202128020417</v>
      </c>
      <c r="E2723" s="10" t="s">
        <v>27</v>
      </c>
      <c r="F2723" s="6" t="s">
        <v>10</v>
      </c>
      <c r="G2723" s="8">
        <v>61.4</v>
      </c>
      <c r="H2723" s="6"/>
    </row>
    <row r="2724" spans="1:8">
      <c r="A2724" s="5">
        <v>2510</v>
      </c>
      <c r="B2724" s="6" t="str">
        <f>"莫紫玲"</f>
        <v>莫紫玲</v>
      </c>
      <c r="C2724" s="6" t="str">
        <f t="shared" si="125"/>
        <v>女</v>
      </c>
      <c r="D2724" s="6" t="str">
        <f>"202128020418"</f>
        <v>202128020418</v>
      </c>
      <c r="E2724" s="10" t="s">
        <v>27</v>
      </c>
      <c r="F2724" s="6" t="s">
        <v>10</v>
      </c>
      <c r="G2724" s="8">
        <v>47.2</v>
      </c>
      <c r="H2724" s="6"/>
    </row>
    <row r="2725" spans="1:8">
      <c r="A2725" s="5">
        <v>2487</v>
      </c>
      <c r="B2725" s="6" t="str">
        <f>"黄孟琪"</f>
        <v>黄孟琪</v>
      </c>
      <c r="C2725" s="6" t="str">
        <f t="shared" si="125"/>
        <v>女</v>
      </c>
      <c r="D2725" s="6" t="str">
        <f>"202128020419"</f>
        <v>202128020419</v>
      </c>
      <c r="E2725" s="10" t="s">
        <v>27</v>
      </c>
      <c r="F2725" s="6" t="s">
        <v>10</v>
      </c>
      <c r="G2725" s="8">
        <v>66.150000000000006</v>
      </c>
      <c r="H2725" s="6"/>
    </row>
    <row r="2726" spans="1:8">
      <c r="A2726" s="5">
        <v>2585</v>
      </c>
      <c r="B2726" s="6" t="str">
        <f>"曾慧娟"</f>
        <v>曾慧娟</v>
      </c>
      <c r="C2726" s="6" t="str">
        <f t="shared" si="125"/>
        <v>女</v>
      </c>
      <c r="D2726" s="6" t="str">
        <f>"202128020420"</f>
        <v>202128020420</v>
      </c>
      <c r="E2726" s="10" t="s">
        <v>27</v>
      </c>
      <c r="F2726" s="6" t="s">
        <v>10</v>
      </c>
      <c r="G2726" s="8">
        <v>71.349999999999994</v>
      </c>
      <c r="H2726" s="6"/>
    </row>
    <row r="2727" spans="1:8">
      <c r="A2727" s="5">
        <v>2474</v>
      </c>
      <c r="B2727" s="6" t="str">
        <f>"陈数风"</f>
        <v>陈数风</v>
      </c>
      <c r="C2727" s="6" t="str">
        <f t="shared" si="125"/>
        <v>女</v>
      </c>
      <c r="D2727" s="6" t="str">
        <f>"202128020421"</f>
        <v>202128020421</v>
      </c>
      <c r="E2727" s="10" t="s">
        <v>27</v>
      </c>
      <c r="F2727" s="6" t="s">
        <v>10</v>
      </c>
      <c r="G2727" s="8">
        <v>0</v>
      </c>
      <c r="H2727" s="9">
        <v>1</v>
      </c>
    </row>
    <row r="2728" spans="1:8">
      <c r="A2728" s="5">
        <v>2632</v>
      </c>
      <c r="B2728" s="6" t="str">
        <f>"吴芝竺"</f>
        <v>吴芝竺</v>
      </c>
      <c r="C2728" s="6" t="str">
        <f t="shared" si="125"/>
        <v>女</v>
      </c>
      <c r="D2728" s="6" t="str">
        <f>"202128020422"</f>
        <v>202128020422</v>
      </c>
      <c r="E2728" s="10" t="s">
        <v>27</v>
      </c>
      <c r="F2728" s="6" t="s">
        <v>10</v>
      </c>
      <c r="G2728" s="8">
        <v>58.05</v>
      </c>
      <c r="H2728" s="6"/>
    </row>
    <row r="2729" spans="1:8">
      <c r="A2729" s="5">
        <v>2471</v>
      </c>
      <c r="B2729" s="6" t="str">
        <f>"夏若灵"</f>
        <v>夏若灵</v>
      </c>
      <c r="C2729" s="6" t="str">
        <f t="shared" si="125"/>
        <v>女</v>
      </c>
      <c r="D2729" s="6" t="str">
        <f>"202128020423"</f>
        <v>202128020423</v>
      </c>
      <c r="E2729" s="10" t="s">
        <v>27</v>
      </c>
      <c r="F2729" s="6" t="s">
        <v>10</v>
      </c>
      <c r="G2729" s="8">
        <v>0</v>
      </c>
      <c r="H2729" s="9">
        <v>1</v>
      </c>
    </row>
    <row r="2730" spans="1:8">
      <c r="A2730" s="5">
        <v>2518</v>
      </c>
      <c r="B2730" s="6" t="str">
        <f>"李楚妍"</f>
        <v>李楚妍</v>
      </c>
      <c r="C2730" s="6" t="str">
        <f t="shared" si="125"/>
        <v>女</v>
      </c>
      <c r="D2730" s="6" t="str">
        <f>"202128020424"</f>
        <v>202128020424</v>
      </c>
      <c r="E2730" s="10" t="s">
        <v>27</v>
      </c>
      <c r="F2730" s="6" t="s">
        <v>10</v>
      </c>
      <c r="G2730" s="8">
        <v>42.45</v>
      </c>
      <c r="H2730" s="6"/>
    </row>
    <row r="2731" spans="1:8">
      <c r="A2731" s="5">
        <v>2653</v>
      </c>
      <c r="B2731" s="6" t="str">
        <f>"杨何云"</f>
        <v>杨何云</v>
      </c>
      <c r="C2731" s="6" t="str">
        <f t="shared" si="125"/>
        <v>女</v>
      </c>
      <c r="D2731" s="6" t="str">
        <f>"202128020425"</f>
        <v>202128020425</v>
      </c>
      <c r="E2731" s="10" t="s">
        <v>27</v>
      </c>
      <c r="F2731" s="6" t="s">
        <v>10</v>
      </c>
      <c r="G2731" s="8">
        <v>54.45</v>
      </c>
      <c r="H2731" s="6"/>
    </row>
    <row r="2732" spans="1:8">
      <c r="A2732" s="5">
        <v>2623</v>
      </c>
      <c r="B2732" s="6" t="str">
        <f>"贺丽群"</f>
        <v>贺丽群</v>
      </c>
      <c r="C2732" s="6" t="str">
        <f t="shared" si="125"/>
        <v>女</v>
      </c>
      <c r="D2732" s="6" t="str">
        <f>"202128020426"</f>
        <v>202128020426</v>
      </c>
      <c r="E2732" s="10" t="s">
        <v>27</v>
      </c>
      <c r="F2732" s="6" t="s">
        <v>10</v>
      </c>
      <c r="G2732" s="8">
        <v>56.2</v>
      </c>
      <c r="H2732" s="6"/>
    </row>
    <row r="2733" spans="1:8">
      <c r="A2733" s="5">
        <v>2571</v>
      </c>
      <c r="B2733" s="6" t="str">
        <f>"李欢"</f>
        <v>李欢</v>
      </c>
      <c r="C2733" s="6" t="str">
        <f t="shared" si="125"/>
        <v>女</v>
      </c>
      <c r="D2733" s="6" t="str">
        <f>"202128020427"</f>
        <v>202128020427</v>
      </c>
      <c r="E2733" s="10" t="s">
        <v>27</v>
      </c>
      <c r="F2733" s="6" t="s">
        <v>10</v>
      </c>
      <c r="G2733" s="8">
        <v>53.8</v>
      </c>
      <c r="H2733" s="6"/>
    </row>
    <row r="2734" spans="1:8">
      <c r="A2734" s="5">
        <v>2501</v>
      </c>
      <c r="B2734" s="6" t="str">
        <f>"邱艳广"</f>
        <v>邱艳广</v>
      </c>
      <c r="C2734" s="6" t="str">
        <f t="shared" si="125"/>
        <v>女</v>
      </c>
      <c r="D2734" s="6" t="str">
        <f>"202128020428"</f>
        <v>202128020428</v>
      </c>
      <c r="E2734" s="10" t="s">
        <v>27</v>
      </c>
      <c r="F2734" s="6" t="s">
        <v>10</v>
      </c>
      <c r="G2734" s="8">
        <v>48.45</v>
      </c>
      <c r="H2734" s="6"/>
    </row>
    <row r="2735" spans="1:8">
      <c r="A2735" s="5">
        <v>2670</v>
      </c>
      <c r="B2735" s="6" t="str">
        <f>"杨丹"</f>
        <v>杨丹</v>
      </c>
      <c r="C2735" s="6" t="str">
        <f t="shared" si="125"/>
        <v>女</v>
      </c>
      <c r="D2735" s="6" t="str">
        <f>"202128020429"</f>
        <v>202128020429</v>
      </c>
      <c r="E2735" s="10" t="s">
        <v>27</v>
      </c>
      <c r="F2735" s="6" t="s">
        <v>10</v>
      </c>
      <c r="G2735" s="8">
        <v>50.7</v>
      </c>
      <c r="H2735" s="6"/>
    </row>
    <row r="2736" spans="1:8">
      <c r="A2736" s="5">
        <v>2687</v>
      </c>
      <c r="B2736" s="6" t="str">
        <f>"刘慧"</f>
        <v>刘慧</v>
      </c>
      <c r="C2736" s="6" t="str">
        <f t="shared" si="125"/>
        <v>女</v>
      </c>
      <c r="D2736" s="6" t="str">
        <f>"202128020430"</f>
        <v>202128020430</v>
      </c>
      <c r="E2736" s="10" t="s">
        <v>27</v>
      </c>
      <c r="F2736" s="6" t="s">
        <v>10</v>
      </c>
      <c r="G2736" s="8">
        <v>67.7</v>
      </c>
      <c r="H2736" s="6"/>
    </row>
    <row r="2737" spans="1:8">
      <c r="A2737" s="5">
        <v>2651</v>
      </c>
      <c r="B2737" s="6" t="str">
        <f>"唐金洁"</f>
        <v>唐金洁</v>
      </c>
      <c r="C2737" s="6" t="str">
        <f t="shared" si="125"/>
        <v>女</v>
      </c>
      <c r="D2737" s="6" t="str">
        <f>"202128020501"</f>
        <v>202128020501</v>
      </c>
      <c r="E2737" s="10" t="s">
        <v>27</v>
      </c>
      <c r="F2737" s="6" t="s">
        <v>10</v>
      </c>
      <c r="G2737" s="8">
        <v>65.05</v>
      </c>
      <c r="H2737" s="6"/>
    </row>
    <row r="2738" spans="1:8">
      <c r="A2738" s="5">
        <v>2745</v>
      </c>
      <c r="B2738" s="6" t="str">
        <f>"何飘凤"</f>
        <v>何飘凤</v>
      </c>
      <c r="C2738" s="6" t="str">
        <f t="shared" si="125"/>
        <v>女</v>
      </c>
      <c r="D2738" s="6" t="str">
        <f>"202128020502"</f>
        <v>202128020502</v>
      </c>
      <c r="E2738" s="10" t="s">
        <v>27</v>
      </c>
      <c r="F2738" s="6" t="s">
        <v>10</v>
      </c>
      <c r="G2738" s="8">
        <v>58</v>
      </c>
      <c r="H2738" s="6"/>
    </row>
    <row r="2739" spans="1:8">
      <c r="A2739" s="5">
        <v>2686</v>
      </c>
      <c r="B2739" s="6" t="str">
        <f>"肖莉萍"</f>
        <v>肖莉萍</v>
      </c>
      <c r="C2739" s="6" t="str">
        <f t="shared" si="125"/>
        <v>女</v>
      </c>
      <c r="D2739" s="6" t="str">
        <f>"202128020503"</f>
        <v>202128020503</v>
      </c>
      <c r="E2739" s="10" t="s">
        <v>27</v>
      </c>
      <c r="F2739" s="6" t="s">
        <v>10</v>
      </c>
      <c r="G2739" s="8">
        <v>52.45</v>
      </c>
      <c r="H2739" s="6"/>
    </row>
    <row r="2740" spans="1:8">
      <c r="A2740" s="5">
        <v>2626</v>
      </c>
      <c r="B2740" s="6" t="str">
        <f>"孙宏杰"</f>
        <v>孙宏杰</v>
      </c>
      <c r="C2740" s="6" t="str">
        <f t="shared" si="125"/>
        <v>女</v>
      </c>
      <c r="D2740" s="6" t="str">
        <f>"202128020504"</f>
        <v>202128020504</v>
      </c>
      <c r="E2740" s="10" t="s">
        <v>27</v>
      </c>
      <c r="F2740" s="6" t="s">
        <v>10</v>
      </c>
      <c r="G2740" s="8">
        <v>56.35</v>
      </c>
      <c r="H2740" s="6"/>
    </row>
    <row r="2741" spans="1:8">
      <c r="A2741" s="5">
        <v>2732</v>
      </c>
      <c r="B2741" s="6" t="str">
        <f>"郭湘"</f>
        <v>郭湘</v>
      </c>
      <c r="C2741" s="6" t="str">
        <f t="shared" si="125"/>
        <v>女</v>
      </c>
      <c r="D2741" s="6" t="str">
        <f>"202128020505"</f>
        <v>202128020505</v>
      </c>
      <c r="E2741" s="10" t="s">
        <v>27</v>
      </c>
      <c r="F2741" s="6" t="s">
        <v>10</v>
      </c>
      <c r="G2741" s="8">
        <v>55.1</v>
      </c>
      <c r="H2741" s="6"/>
    </row>
    <row r="2742" spans="1:8">
      <c r="A2742" s="5">
        <v>2688</v>
      </c>
      <c r="B2742" s="6" t="str">
        <f>"李丝丝"</f>
        <v>李丝丝</v>
      </c>
      <c r="C2742" s="6" t="str">
        <f t="shared" si="125"/>
        <v>女</v>
      </c>
      <c r="D2742" s="6" t="str">
        <f>"202128020506"</f>
        <v>202128020506</v>
      </c>
      <c r="E2742" s="10" t="s">
        <v>27</v>
      </c>
      <c r="F2742" s="6" t="s">
        <v>10</v>
      </c>
      <c r="G2742" s="8">
        <v>58.25</v>
      </c>
      <c r="H2742" s="6"/>
    </row>
    <row r="2743" spans="1:8">
      <c r="A2743" s="5">
        <v>2638</v>
      </c>
      <c r="B2743" s="6" t="str">
        <f>" 聂莉莉"</f>
        <v>聂莉莉</v>
      </c>
      <c r="C2743" s="6" t="str">
        <f t="shared" si="125"/>
        <v>女</v>
      </c>
      <c r="D2743" s="6" t="str">
        <f>"202128020507"</f>
        <v>202128020507</v>
      </c>
      <c r="E2743" s="10" t="s">
        <v>27</v>
      </c>
      <c r="F2743" s="6" t="s">
        <v>10</v>
      </c>
      <c r="G2743" s="8">
        <v>60.25</v>
      </c>
      <c r="H2743" s="6"/>
    </row>
    <row r="2744" spans="1:8">
      <c r="A2744" s="5">
        <v>2607</v>
      </c>
      <c r="B2744" s="6" t="str">
        <f>"戴苗苗"</f>
        <v>戴苗苗</v>
      </c>
      <c r="C2744" s="6" t="str">
        <f t="shared" si="125"/>
        <v>女</v>
      </c>
      <c r="D2744" s="6" t="str">
        <f>"202128020508"</f>
        <v>202128020508</v>
      </c>
      <c r="E2744" s="10" t="s">
        <v>27</v>
      </c>
      <c r="F2744" s="6" t="s">
        <v>10</v>
      </c>
      <c r="G2744" s="8">
        <v>57.75</v>
      </c>
      <c r="H2744" s="6"/>
    </row>
    <row r="2745" spans="1:8">
      <c r="A2745" s="5">
        <v>2705</v>
      </c>
      <c r="B2745" s="6" t="str">
        <f>"唐玉杰"</f>
        <v>唐玉杰</v>
      </c>
      <c r="C2745" s="6" t="str">
        <f>"男"</f>
        <v>男</v>
      </c>
      <c r="D2745" s="6" t="str">
        <f>"202128020509"</f>
        <v>202128020509</v>
      </c>
      <c r="E2745" s="10" t="s">
        <v>27</v>
      </c>
      <c r="F2745" s="6" t="s">
        <v>10</v>
      </c>
      <c r="G2745" s="8">
        <v>58.2</v>
      </c>
      <c r="H2745" s="6"/>
    </row>
    <row r="2746" spans="1:8">
      <c r="A2746" s="5">
        <v>2558</v>
      </c>
      <c r="B2746" s="6" t="str">
        <f>"陈燕"</f>
        <v>陈燕</v>
      </c>
      <c r="C2746" s="6" t="str">
        <f t="shared" ref="C2746:C2756" si="126">"女"</f>
        <v>女</v>
      </c>
      <c r="D2746" s="6" t="str">
        <f>"202128020510"</f>
        <v>202128020510</v>
      </c>
      <c r="E2746" s="10" t="s">
        <v>27</v>
      </c>
      <c r="F2746" s="6" t="s">
        <v>10</v>
      </c>
      <c r="G2746" s="8">
        <v>62.45</v>
      </c>
      <c r="H2746" s="6"/>
    </row>
    <row r="2747" spans="1:8">
      <c r="A2747" s="5">
        <v>2484</v>
      </c>
      <c r="B2747" s="6" t="str">
        <f>"陈娟"</f>
        <v>陈娟</v>
      </c>
      <c r="C2747" s="6" t="str">
        <f t="shared" si="126"/>
        <v>女</v>
      </c>
      <c r="D2747" s="6" t="str">
        <f>"202128020511"</f>
        <v>202128020511</v>
      </c>
      <c r="E2747" s="10" t="s">
        <v>27</v>
      </c>
      <c r="F2747" s="6" t="s">
        <v>10</v>
      </c>
      <c r="G2747" s="8">
        <v>52.55</v>
      </c>
      <c r="H2747" s="6"/>
    </row>
    <row r="2748" spans="1:8">
      <c r="A2748" s="5">
        <v>2564</v>
      </c>
      <c r="B2748" s="6" t="str">
        <f>"钱凯欣"</f>
        <v>钱凯欣</v>
      </c>
      <c r="C2748" s="6" t="str">
        <f t="shared" si="126"/>
        <v>女</v>
      </c>
      <c r="D2748" s="6" t="str">
        <f>"202128020512"</f>
        <v>202128020512</v>
      </c>
      <c r="E2748" s="10" t="s">
        <v>27</v>
      </c>
      <c r="F2748" s="6" t="s">
        <v>10</v>
      </c>
      <c r="G2748" s="8">
        <v>60.15</v>
      </c>
      <c r="H2748" s="6"/>
    </row>
    <row r="2749" spans="1:8">
      <c r="A2749" s="5">
        <v>2624</v>
      </c>
      <c r="B2749" s="6" t="str">
        <f>"何瑶瑶"</f>
        <v>何瑶瑶</v>
      </c>
      <c r="C2749" s="6" t="str">
        <f t="shared" si="126"/>
        <v>女</v>
      </c>
      <c r="D2749" s="6" t="str">
        <f>"202128020513"</f>
        <v>202128020513</v>
      </c>
      <c r="E2749" s="10" t="s">
        <v>27</v>
      </c>
      <c r="F2749" s="6" t="s">
        <v>10</v>
      </c>
      <c r="G2749" s="8">
        <v>58.5</v>
      </c>
      <c r="H2749" s="6"/>
    </row>
    <row r="2750" spans="1:8">
      <c r="A2750" s="5">
        <v>2660</v>
      </c>
      <c r="B2750" s="6" t="str">
        <f>"谢玲"</f>
        <v>谢玲</v>
      </c>
      <c r="C2750" s="6" t="str">
        <f t="shared" si="126"/>
        <v>女</v>
      </c>
      <c r="D2750" s="6" t="str">
        <f>"202128020514"</f>
        <v>202128020514</v>
      </c>
      <c r="E2750" s="10" t="s">
        <v>27</v>
      </c>
      <c r="F2750" s="6" t="s">
        <v>10</v>
      </c>
      <c r="G2750" s="8">
        <v>58.15</v>
      </c>
      <c r="H2750" s="6"/>
    </row>
    <row r="2751" spans="1:8">
      <c r="A2751" s="5">
        <v>2676</v>
      </c>
      <c r="B2751" s="6" t="str">
        <f>"金亚南"</f>
        <v>金亚南</v>
      </c>
      <c r="C2751" s="6" t="str">
        <f t="shared" si="126"/>
        <v>女</v>
      </c>
      <c r="D2751" s="6" t="str">
        <f>"202128020515"</f>
        <v>202128020515</v>
      </c>
      <c r="E2751" s="10" t="s">
        <v>27</v>
      </c>
      <c r="F2751" s="6" t="s">
        <v>10</v>
      </c>
      <c r="G2751" s="8">
        <v>44.1</v>
      </c>
      <c r="H2751" s="6"/>
    </row>
    <row r="2752" spans="1:8">
      <c r="A2752" s="5">
        <v>2538</v>
      </c>
      <c r="B2752" s="6" t="str">
        <f>"钟婷"</f>
        <v>钟婷</v>
      </c>
      <c r="C2752" s="6" t="str">
        <f t="shared" si="126"/>
        <v>女</v>
      </c>
      <c r="D2752" s="6" t="str">
        <f>"202128020516"</f>
        <v>202128020516</v>
      </c>
      <c r="E2752" s="10" t="s">
        <v>27</v>
      </c>
      <c r="F2752" s="6" t="s">
        <v>10</v>
      </c>
      <c r="G2752" s="8">
        <v>56.7</v>
      </c>
      <c r="H2752" s="6"/>
    </row>
    <row r="2753" spans="1:8">
      <c r="A2753" s="5">
        <v>2561</v>
      </c>
      <c r="B2753" s="6" t="str">
        <f>"杨美淋"</f>
        <v>杨美淋</v>
      </c>
      <c r="C2753" s="6" t="str">
        <f t="shared" si="126"/>
        <v>女</v>
      </c>
      <c r="D2753" s="6" t="str">
        <f>"202128020517"</f>
        <v>202128020517</v>
      </c>
      <c r="E2753" s="10" t="s">
        <v>27</v>
      </c>
      <c r="F2753" s="6" t="s">
        <v>10</v>
      </c>
      <c r="G2753" s="8">
        <v>66.25</v>
      </c>
      <c r="H2753" s="6"/>
    </row>
    <row r="2754" spans="1:8">
      <c r="A2754" s="5">
        <v>2464</v>
      </c>
      <c r="B2754" s="6" t="str">
        <f>"李戴潇蓉"</f>
        <v>李戴潇蓉</v>
      </c>
      <c r="C2754" s="6" t="str">
        <f t="shared" si="126"/>
        <v>女</v>
      </c>
      <c r="D2754" s="6" t="str">
        <f>"202128020518"</f>
        <v>202128020518</v>
      </c>
      <c r="E2754" s="10" t="s">
        <v>27</v>
      </c>
      <c r="F2754" s="6" t="s">
        <v>10</v>
      </c>
      <c r="G2754" s="8">
        <v>58.45</v>
      </c>
      <c r="H2754" s="6"/>
    </row>
    <row r="2755" spans="1:8">
      <c r="A2755" s="5">
        <v>2593</v>
      </c>
      <c r="B2755" s="6" t="str">
        <f>"杨玉洁"</f>
        <v>杨玉洁</v>
      </c>
      <c r="C2755" s="6" t="str">
        <f t="shared" si="126"/>
        <v>女</v>
      </c>
      <c r="D2755" s="6" t="str">
        <f>"202128020519"</f>
        <v>202128020519</v>
      </c>
      <c r="E2755" s="10" t="s">
        <v>27</v>
      </c>
      <c r="F2755" s="6" t="s">
        <v>10</v>
      </c>
      <c r="G2755" s="8">
        <v>44.3</v>
      </c>
      <c r="H2755" s="6"/>
    </row>
    <row r="2756" spans="1:8">
      <c r="A2756" s="5">
        <v>2741</v>
      </c>
      <c r="B2756" s="6" t="str">
        <f>"易晓娇"</f>
        <v>易晓娇</v>
      </c>
      <c r="C2756" s="6" t="str">
        <f t="shared" si="126"/>
        <v>女</v>
      </c>
      <c r="D2756" s="6" t="str">
        <f>"202128020520"</f>
        <v>202128020520</v>
      </c>
      <c r="E2756" s="10" t="s">
        <v>27</v>
      </c>
      <c r="F2756" s="6" t="s">
        <v>10</v>
      </c>
      <c r="G2756" s="8">
        <v>57.4</v>
      </c>
      <c r="H2756" s="6"/>
    </row>
    <row r="2757" spans="1:8">
      <c r="A2757" s="5">
        <v>2644</v>
      </c>
      <c r="B2757" s="6" t="str">
        <f>"姜嘉骏"</f>
        <v>姜嘉骏</v>
      </c>
      <c r="C2757" s="6" t="str">
        <f>"男"</f>
        <v>男</v>
      </c>
      <c r="D2757" s="6" t="str">
        <f>"202128020521"</f>
        <v>202128020521</v>
      </c>
      <c r="E2757" s="10" t="s">
        <v>27</v>
      </c>
      <c r="F2757" s="6" t="s">
        <v>10</v>
      </c>
      <c r="G2757" s="8">
        <v>50.55</v>
      </c>
      <c r="H2757" s="6"/>
    </row>
    <row r="2758" spans="1:8">
      <c r="A2758" s="5">
        <v>2689</v>
      </c>
      <c r="B2758" s="6" t="str">
        <f>"朱婷婷"</f>
        <v>朱婷婷</v>
      </c>
      <c r="C2758" s="6" t="str">
        <f t="shared" ref="C2758:C2789" si="127">"女"</f>
        <v>女</v>
      </c>
      <c r="D2758" s="6" t="str">
        <f>"202128020522"</f>
        <v>202128020522</v>
      </c>
      <c r="E2758" s="10" t="s">
        <v>27</v>
      </c>
      <c r="F2758" s="6" t="s">
        <v>10</v>
      </c>
      <c r="G2758" s="8">
        <v>48.2</v>
      </c>
      <c r="H2758" s="6"/>
    </row>
    <row r="2759" spans="1:8">
      <c r="A2759" s="5">
        <v>2610</v>
      </c>
      <c r="B2759" s="6" t="str">
        <f>"刘禹秋"</f>
        <v>刘禹秋</v>
      </c>
      <c r="C2759" s="6" t="str">
        <f t="shared" si="127"/>
        <v>女</v>
      </c>
      <c r="D2759" s="6" t="str">
        <f>"202128020523"</f>
        <v>202128020523</v>
      </c>
      <c r="E2759" s="10" t="s">
        <v>27</v>
      </c>
      <c r="F2759" s="6" t="s">
        <v>10</v>
      </c>
      <c r="G2759" s="8">
        <v>61.65</v>
      </c>
      <c r="H2759" s="6"/>
    </row>
    <row r="2760" spans="1:8">
      <c r="A2760" s="5">
        <v>2695</v>
      </c>
      <c r="B2760" s="6" t="str">
        <f>"蒙丽亚"</f>
        <v>蒙丽亚</v>
      </c>
      <c r="C2760" s="6" t="str">
        <f t="shared" si="127"/>
        <v>女</v>
      </c>
      <c r="D2760" s="6" t="str">
        <f>"202128020524"</f>
        <v>202128020524</v>
      </c>
      <c r="E2760" s="10" t="s">
        <v>27</v>
      </c>
      <c r="F2760" s="6" t="s">
        <v>10</v>
      </c>
      <c r="G2760" s="8">
        <v>52.85</v>
      </c>
      <c r="H2760" s="6"/>
    </row>
    <row r="2761" spans="1:8">
      <c r="A2761" s="5">
        <v>2599</v>
      </c>
      <c r="B2761" s="6" t="str">
        <f>"王丹"</f>
        <v>王丹</v>
      </c>
      <c r="C2761" s="6" t="str">
        <f t="shared" si="127"/>
        <v>女</v>
      </c>
      <c r="D2761" s="6" t="str">
        <f>"202128020525"</f>
        <v>202128020525</v>
      </c>
      <c r="E2761" s="10" t="s">
        <v>27</v>
      </c>
      <c r="F2761" s="6" t="s">
        <v>10</v>
      </c>
      <c r="G2761" s="8">
        <v>62.8</v>
      </c>
      <c r="H2761" s="6"/>
    </row>
    <row r="2762" spans="1:8">
      <c r="A2762" s="5">
        <v>2463</v>
      </c>
      <c r="B2762" s="6" t="str">
        <f>"欧阳汶芳"</f>
        <v>欧阳汶芳</v>
      </c>
      <c r="C2762" s="6" t="str">
        <f t="shared" si="127"/>
        <v>女</v>
      </c>
      <c r="D2762" s="6" t="str">
        <f>"202128020526"</f>
        <v>202128020526</v>
      </c>
      <c r="E2762" s="10" t="s">
        <v>27</v>
      </c>
      <c r="F2762" s="6" t="s">
        <v>10</v>
      </c>
      <c r="G2762" s="8">
        <v>59.65</v>
      </c>
      <c r="H2762" s="6"/>
    </row>
    <row r="2763" spans="1:8">
      <c r="A2763" s="5">
        <v>2497</v>
      </c>
      <c r="B2763" s="6" t="str">
        <f>"周雪艳"</f>
        <v>周雪艳</v>
      </c>
      <c r="C2763" s="6" t="str">
        <f t="shared" si="127"/>
        <v>女</v>
      </c>
      <c r="D2763" s="6" t="str">
        <f>"202128020527"</f>
        <v>202128020527</v>
      </c>
      <c r="E2763" s="10" t="s">
        <v>27</v>
      </c>
      <c r="F2763" s="6" t="s">
        <v>10</v>
      </c>
      <c r="G2763" s="8">
        <v>0</v>
      </c>
      <c r="H2763" s="9">
        <v>1</v>
      </c>
    </row>
    <row r="2764" spans="1:8">
      <c r="A2764" s="5">
        <v>2669</v>
      </c>
      <c r="B2764" s="6" t="str">
        <f>"马秀雯"</f>
        <v>马秀雯</v>
      </c>
      <c r="C2764" s="6" t="str">
        <f t="shared" si="127"/>
        <v>女</v>
      </c>
      <c r="D2764" s="6" t="str">
        <f>"202128020528"</f>
        <v>202128020528</v>
      </c>
      <c r="E2764" s="10" t="s">
        <v>27</v>
      </c>
      <c r="F2764" s="6" t="s">
        <v>10</v>
      </c>
      <c r="G2764" s="8">
        <v>71.650000000000006</v>
      </c>
      <c r="H2764" s="6"/>
    </row>
    <row r="2765" spans="1:8">
      <c r="A2765" s="5">
        <v>2475</v>
      </c>
      <c r="B2765" s="6" t="str">
        <f>"谢李娥"</f>
        <v>谢李娥</v>
      </c>
      <c r="C2765" s="6" t="str">
        <f t="shared" si="127"/>
        <v>女</v>
      </c>
      <c r="D2765" s="6" t="str">
        <f>"202128020529"</f>
        <v>202128020529</v>
      </c>
      <c r="E2765" s="10" t="s">
        <v>27</v>
      </c>
      <c r="F2765" s="6" t="s">
        <v>10</v>
      </c>
      <c r="G2765" s="8">
        <v>0</v>
      </c>
      <c r="H2765" s="9">
        <v>1</v>
      </c>
    </row>
    <row r="2766" spans="1:8">
      <c r="A2766" s="5">
        <v>2627</v>
      </c>
      <c r="B2766" s="6" t="str">
        <f>"马嘉欣"</f>
        <v>马嘉欣</v>
      </c>
      <c r="C2766" s="6" t="str">
        <f t="shared" si="127"/>
        <v>女</v>
      </c>
      <c r="D2766" s="6" t="str">
        <f>"202128020530"</f>
        <v>202128020530</v>
      </c>
      <c r="E2766" s="10" t="s">
        <v>27</v>
      </c>
      <c r="F2766" s="6" t="s">
        <v>10</v>
      </c>
      <c r="G2766" s="8">
        <v>51.75</v>
      </c>
      <c r="H2766" s="6"/>
    </row>
    <row r="2767" spans="1:8">
      <c r="A2767" s="5">
        <v>2600</v>
      </c>
      <c r="B2767" s="6" t="str">
        <f>"蒋闺群"</f>
        <v>蒋闺群</v>
      </c>
      <c r="C2767" s="6" t="str">
        <f t="shared" si="127"/>
        <v>女</v>
      </c>
      <c r="D2767" s="6" t="str">
        <f>"202128020601"</f>
        <v>202128020601</v>
      </c>
      <c r="E2767" s="10" t="s">
        <v>27</v>
      </c>
      <c r="F2767" s="6" t="s">
        <v>10</v>
      </c>
      <c r="G2767" s="8">
        <v>59.45</v>
      </c>
      <c r="H2767" s="6"/>
    </row>
    <row r="2768" spans="1:8">
      <c r="A2768" s="5">
        <v>2697</v>
      </c>
      <c r="B2768" s="6" t="str">
        <f>"徐思源"</f>
        <v>徐思源</v>
      </c>
      <c r="C2768" s="6" t="str">
        <f t="shared" si="127"/>
        <v>女</v>
      </c>
      <c r="D2768" s="6" t="str">
        <f>"202128020602"</f>
        <v>202128020602</v>
      </c>
      <c r="E2768" s="10" t="s">
        <v>27</v>
      </c>
      <c r="F2768" s="6" t="s">
        <v>10</v>
      </c>
      <c r="G2768" s="8">
        <v>51</v>
      </c>
      <c r="H2768" s="6"/>
    </row>
    <row r="2769" spans="1:8">
      <c r="A2769" s="5">
        <v>2723</v>
      </c>
      <c r="B2769" s="6" t="str">
        <f>"陈美"</f>
        <v>陈美</v>
      </c>
      <c r="C2769" s="6" t="str">
        <f t="shared" si="127"/>
        <v>女</v>
      </c>
      <c r="D2769" s="6" t="str">
        <f>"202128020603"</f>
        <v>202128020603</v>
      </c>
      <c r="E2769" s="10" t="s">
        <v>27</v>
      </c>
      <c r="F2769" s="6" t="s">
        <v>10</v>
      </c>
      <c r="G2769" s="8">
        <v>49.15</v>
      </c>
      <c r="H2769" s="6"/>
    </row>
    <row r="2770" spans="1:8">
      <c r="A2770" s="5">
        <v>2675</v>
      </c>
      <c r="B2770" s="6" t="str">
        <f>"宋艳红"</f>
        <v>宋艳红</v>
      </c>
      <c r="C2770" s="6" t="str">
        <f t="shared" si="127"/>
        <v>女</v>
      </c>
      <c r="D2770" s="6" t="str">
        <f>"202128020604"</f>
        <v>202128020604</v>
      </c>
      <c r="E2770" s="10" t="s">
        <v>27</v>
      </c>
      <c r="F2770" s="6" t="s">
        <v>10</v>
      </c>
      <c r="G2770" s="8">
        <v>44.7</v>
      </c>
      <c r="H2770" s="6"/>
    </row>
    <row r="2771" spans="1:8">
      <c r="A2771" s="5">
        <v>2666</v>
      </c>
      <c r="B2771" s="6" t="str">
        <f>"郑楚慧"</f>
        <v>郑楚慧</v>
      </c>
      <c r="C2771" s="6" t="str">
        <f t="shared" si="127"/>
        <v>女</v>
      </c>
      <c r="D2771" s="6" t="str">
        <f>"202128020605"</f>
        <v>202128020605</v>
      </c>
      <c r="E2771" s="10" t="s">
        <v>27</v>
      </c>
      <c r="F2771" s="6" t="s">
        <v>10</v>
      </c>
      <c r="G2771" s="8">
        <v>68.8</v>
      </c>
      <c r="H2771" s="6"/>
    </row>
    <row r="2772" spans="1:8">
      <c r="A2772" s="5">
        <v>2643</v>
      </c>
      <c r="B2772" s="6" t="str">
        <f>"陈玉"</f>
        <v>陈玉</v>
      </c>
      <c r="C2772" s="6" t="str">
        <f t="shared" si="127"/>
        <v>女</v>
      </c>
      <c r="D2772" s="6" t="str">
        <f>"202128020606"</f>
        <v>202128020606</v>
      </c>
      <c r="E2772" s="10" t="s">
        <v>27</v>
      </c>
      <c r="F2772" s="6" t="s">
        <v>10</v>
      </c>
      <c r="G2772" s="8">
        <v>49.4</v>
      </c>
      <c r="H2772" s="6"/>
    </row>
    <row r="2773" spans="1:8">
      <c r="A2773" s="5">
        <v>2729</v>
      </c>
      <c r="B2773" s="6" t="str">
        <f>"艾翠"</f>
        <v>艾翠</v>
      </c>
      <c r="C2773" s="6" t="str">
        <f t="shared" si="127"/>
        <v>女</v>
      </c>
      <c r="D2773" s="6" t="str">
        <f>"202128020607"</f>
        <v>202128020607</v>
      </c>
      <c r="E2773" s="10" t="s">
        <v>27</v>
      </c>
      <c r="F2773" s="6" t="s">
        <v>10</v>
      </c>
      <c r="G2773" s="8">
        <v>49.4</v>
      </c>
      <c r="H2773" s="6"/>
    </row>
    <row r="2774" spans="1:8">
      <c r="A2774" s="5">
        <v>2721</v>
      </c>
      <c r="B2774" s="6" t="str">
        <f>"赵薇"</f>
        <v>赵薇</v>
      </c>
      <c r="C2774" s="6" t="str">
        <f t="shared" si="127"/>
        <v>女</v>
      </c>
      <c r="D2774" s="6" t="str">
        <f>"202128020608"</f>
        <v>202128020608</v>
      </c>
      <c r="E2774" s="10" t="s">
        <v>27</v>
      </c>
      <c r="F2774" s="6" t="s">
        <v>10</v>
      </c>
      <c r="G2774" s="8">
        <v>54.7</v>
      </c>
      <c r="H2774" s="6"/>
    </row>
    <row r="2775" spans="1:8">
      <c r="A2775" s="5">
        <v>2505</v>
      </c>
      <c r="B2775" s="6" t="str">
        <f>"朱旺群"</f>
        <v>朱旺群</v>
      </c>
      <c r="C2775" s="6" t="str">
        <f t="shared" si="127"/>
        <v>女</v>
      </c>
      <c r="D2775" s="6" t="str">
        <f>"202128020609"</f>
        <v>202128020609</v>
      </c>
      <c r="E2775" s="10" t="s">
        <v>27</v>
      </c>
      <c r="F2775" s="6" t="s">
        <v>10</v>
      </c>
      <c r="G2775" s="8">
        <v>0</v>
      </c>
      <c r="H2775" s="9">
        <v>1</v>
      </c>
    </row>
    <row r="2776" spans="1:8">
      <c r="A2776" s="5">
        <v>2583</v>
      </c>
      <c r="B2776" s="6" t="str">
        <f>"李丝"</f>
        <v>李丝</v>
      </c>
      <c r="C2776" s="6" t="str">
        <f t="shared" si="127"/>
        <v>女</v>
      </c>
      <c r="D2776" s="6" t="str">
        <f>"202128020610"</f>
        <v>202128020610</v>
      </c>
      <c r="E2776" s="10" t="s">
        <v>27</v>
      </c>
      <c r="F2776" s="6" t="s">
        <v>10</v>
      </c>
      <c r="G2776" s="8">
        <v>67.099999999999994</v>
      </c>
      <c r="H2776" s="6"/>
    </row>
    <row r="2777" spans="1:8">
      <c r="A2777" s="5">
        <v>2712</v>
      </c>
      <c r="B2777" s="6" t="str">
        <f>"刘宝林"</f>
        <v>刘宝林</v>
      </c>
      <c r="C2777" s="6" t="str">
        <f t="shared" si="127"/>
        <v>女</v>
      </c>
      <c r="D2777" s="6" t="str">
        <f>"202128020611"</f>
        <v>202128020611</v>
      </c>
      <c r="E2777" s="10" t="s">
        <v>27</v>
      </c>
      <c r="F2777" s="6" t="s">
        <v>10</v>
      </c>
      <c r="G2777" s="8">
        <v>53.25</v>
      </c>
      <c r="H2777" s="6"/>
    </row>
    <row r="2778" spans="1:8">
      <c r="A2778" s="5">
        <v>2580</v>
      </c>
      <c r="B2778" s="6" t="str">
        <f>"郭腊梅"</f>
        <v>郭腊梅</v>
      </c>
      <c r="C2778" s="6" t="str">
        <f t="shared" si="127"/>
        <v>女</v>
      </c>
      <c r="D2778" s="6" t="str">
        <f>"202128020612"</f>
        <v>202128020612</v>
      </c>
      <c r="E2778" s="10" t="s">
        <v>27</v>
      </c>
      <c r="F2778" s="6" t="s">
        <v>10</v>
      </c>
      <c r="G2778" s="8">
        <v>43.6</v>
      </c>
      <c r="H2778" s="6"/>
    </row>
    <row r="2779" spans="1:8">
      <c r="A2779" s="5">
        <v>2512</v>
      </c>
      <c r="B2779" s="6" t="str">
        <f>"李遥"</f>
        <v>李遥</v>
      </c>
      <c r="C2779" s="6" t="str">
        <f t="shared" si="127"/>
        <v>女</v>
      </c>
      <c r="D2779" s="6" t="str">
        <f>"202128020613"</f>
        <v>202128020613</v>
      </c>
      <c r="E2779" s="10" t="s">
        <v>27</v>
      </c>
      <c r="F2779" s="6" t="s">
        <v>10</v>
      </c>
      <c r="G2779" s="8">
        <v>65.099999999999994</v>
      </c>
      <c r="H2779" s="6"/>
    </row>
    <row r="2780" spans="1:8">
      <c r="A2780" s="5">
        <v>2544</v>
      </c>
      <c r="B2780" s="6" t="str">
        <f>"刘昶麟"</f>
        <v>刘昶麟</v>
      </c>
      <c r="C2780" s="6" t="str">
        <f t="shared" si="127"/>
        <v>女</v>
      </c>
      <c r="D2780" s="6" t="str">
        <f>"202128020614"</f>
        <v>202128020614</v>
      </c>
      <c r="E2780" s="10" t="s">
        <v>27</v>
      </c>
      <c r="F2780" s="6" t="s">
        <v>10</v>
      </c>
      <c r="G2780" s="8">
        <v>60.7</v>
      </c>
      <c r="H2780" s="6"/>
    </row>
    <row r="2781" spans="1:8">
      <c r="A2781" s="5">
        <v>2589</v>
      </c>
      <c r="B2781" s="6" t="str">
        <f>"卢欣悦"</f>
        <v>卢欣悦</v>
      </c>
      <c r="C2781" s="6" t="str">
        <f t="shared" si="127"/>
        <v>女</v>
      </c>
      <c r="D2781" s="6" t="str">
        <f>"202128020615"</f>
        <v>202128020615</v>
      </c>
      <c r="E2781" s="10" t="s">
        <v>27</v>
      </c>
      <c r="F2781" s="6" t="s">
        <v>10</v>
      </c>
      <c r="G2781" s="8">
        <v>48.1</v>
      </c>
      <c r="H2781" s="6"/>
    </row>
    <row r="2782" spans="1:8">
      <c r="A2782" s="5">
        <v>2480</v>
      </c>
      <c r="B2782" s="6" t="str">
        <f>"刘伶"</f>
        <v>刘伶</v>
      </c>
      <c r="C2782" s="6" t="str">
        <f t="shared" si="127"/>
        <v>女</v>
      </c>
      <c r="D2782" s="6" t="str">
        <f>"202128020616"</f>
        <v>202128020616</v>
      </c>
      <c r="E2782" s="10" t="s">
        <v>27</v>
      </c>
      <c r="F2782" s="6" t="s">
        <v>10</v>
      </c>
      <c r="G2782" s="8">
        <v>52</v>
      </c>
      <c r="H2782" s="6"/>
    </row>
    <row r="2783" spans="1:8">
      <c r="A2783" s="5">
        <v>2590</v>
      </c>
      <c r="B2783" s="6" t="str">
        <f>"阳茜"</f>
        <v>阳茜</v>
      </c>
      <c r="C2783" s="6" t="str">
        <f t="shared" si="127"/>
        <v>女</v>
      </c>
      <c r="D2783" s="6" t="str">
        <f>"202128020617"</f>
        <v>202128020617</v>
      </c>
      <c r="E2783" s="10" t="s">
        <v>27</v>
      </c>
      <c r="F2783" s="6" t="s">
        <v>10</v>
      </c>
      <c r="G2783" s="8">
        <v>54.15</v>
      </c>
      <c r="H2783" s="6"/>
    </row>
    <row r="2784" spans="1:8">
      <c r="A2784" s="5">
        <v>2736</v>
      </c>
      <c r="B2784" s="6" t="str">
        <f>"曾婷"</f>
        <v>曾婷</v>
      </c>
      <c r="C2784" s="6" t="str">
        <f t="shared" si="127"/>
        <v>女</v>
      </c>
      <c r="D2784" s="6" t="str">
        <f>"202128020618"</f>
        <v>202128020618</v>
      </c>
      <c r="E2784" s="10" t="s">
        <v>27</v>
      </c>
      <c r="F2784" s="6" t="s">
        <v>10</v>
      </c>
      <c r="G2784" s="8">
        <v>52.7</v>
      </c>
      <c r="H2784" s="6"/>
    </row>
    <row r="2785" spans="1:8">
      <c r="A2785" s="5">
        <v>2702</v>
      </c>
      <c r="B2785" s="6" t="str">
        <f>"刘昕雨"</f>
        <v>刘昕雨</v>
      </c>
      <c r="C2785" s="6" t="str">
        <f t="shared" si="127"/>
        <v>女</v>
      </c>
      <c r="D2785" s="6" t="str">
        <f>"202128020619"</f>
        <v>202128020619</v>
      </c>
      <c r="E2785" s="10" t="s">
        <v>27</v>
      </c>
      <c r="F2785" s="6" t="s">
        <v>10</v>
      </c>
      <c r="G2785" s="8">
        <v>56.85</v>
      </c>
      <c r="H2785" s="6"/>
    </row>
    <row r="2786" spans="1:8">
      <c r="A2786" s="5">
        <v>2650</v>
      </c>
      <c r="B2786" s="6" t="str">
        <f>"刘洁"</f>
        <v>刘洁</v>
      </c>
      <c r="C2786" s="6" t="str">
        <f t="shared" si="127"/>
        <v>女</v>
      </c>
      <c r="D2786" s="6" t="str">
        <f>"202128020620"</f>
        <v>202128020620</v>
      </c>
      <c r="E2786" s="10" t="s">
        <v>27</v>
      </c>
      <c r="F2786" s="6" t="s">
        <v>10</v>
      </c>
      <c r="G2786" s="8">
        <v>41.3</v>
      </c>
      <c r="H2786" s="6"/>
    </row>
    <row r="2787" spans="1:8">
      <c r="A2787" s="5">
        <v>2629</v>
      </c>
      <c r="B2787" s="6" t="str">
        <f>"尹文琴"</f>
        <v>尹文琴</v>
      </c>
      <c r="C2787" s="6" t="str">
        <f t="shared" si="127"/>
        <v>女</v>
      </c>
      <c r="D2787" s="6" t="str">
        <f>"202128020621"</f>
        <v>202128020621</v>
      </c>
      <c r="E2787" s="10" t="s">
        <v>27</v>
      </c>
      <c r="F2787" s="6" t="s">
        <v>10</v>
      </c>
      <c r="G2787" s="8">
        <v>66.349999999999994</v>
      </c>
      <c r="H2787" s="6"/>
    </row>
    <row r="2788" spans="1:8">
      <c r="A2788" s="5">
        <v>2665</v>
      </c>
      <c r="B2788" s="6" t="str">
        <f>"张晶晶"</f>
        <v>张晶晶</v>
      </c>
      <c r="C2788" s="6" t="str">
        <f t="shared" si="127"/>
        <v>女</v>
      </c>
      <c r="D2788" s="6" t="str">
        <f>"202128020622"</f>
        <v>202128020622</v>
      </c>
      <c r="E2788" s="10" t="s">
        <v>27</v>
      </c>
      <c r="F2788" s="6" t="s">
        <v>10</v>
      </c>
      <c r="G2788" s="8">
        <v>56.45</v>
      </c>
      <c r="H2788" s="6"/>
    </row>
    <row r="2789" spans="1:8">
      <c r="A2789" s="5">
        <v>2615</v>
      </c>
      <c r="B2789" s="6" t="str">
        <f>"李茂青"</f>
        <v>李茂青</v>
      </c>
      <c r="C2789" s="6" t="str">
        <f t="shared" si="127"/>
        <v>女</v>
      </c>
      <c r="D2789" s="6" t="str">
        <f>"202128020623"</f>
        <v>202128020623</v>
      </c>
      <c r="E2789" s="10" t="s">
        <v>27</v>
      </c>
      <c r="F2789" s="6" t="s">
        <v>10</v>
      </c>
      <c r="G2789" s="8">
        <v>53.6</v>
      </c>
      <c r="H2789" s="6"/>
    </row>
    <row r="2790" spans="1:8">
      <c r="A2790" s="5">
        <v>2606</v>
      </c>
      <c r="B2790" s="6" t="str">
        <f>"李晨敏"</f>
        <v>李晨敏</v>
      </c>
      <c r="C2790" s="6" t="str">
        <f t="shared" ref="C2790:C2824" si="128">"女"</f>
        <v>女</v>
      </c>
      <c r="D2790" s="6" t="str">
        <f>"202128020624"</f>
        <v>202128020624</v>
      </c>
      <c r="E2790" s="10" t="s">
        <v>27</v>
      </c>
      <c r="F2790" s="6" t="s">
        <v>10</v>
      </c>
      <c r="G2790" s="8">
        <v>63.2</v>
      </c>
      <c r="H2790" s="6"/>
    </row>
    <row r="2791" spans="1:8">
      <c r="A2791" s="5">
        <v>2743</v>
      </c>
      <c r="B2791" s="6" t="str">
        <f>"苏妮"</f>
        <v>苏妮</v>
      </c>
      <c r="C2791" s="6" t="str">
        <f t="shared" si="128"/>
        <v>女</v>
      </c>
      <c r="D2791" s="6" t="str">
        <f>"202128020625"</f>
        <v>202128020625</v>
      </c>
      <c r="E2791" s="10" t="s">
        <v>27</v>
      </c>
      <c r="F2791" s="6" t="s">
        <v>10</v>
      </c>
      <c r="G2791" s="8">
        <v>56.7</v>
      </c>
      <c r="H2791" s="6"/>
    </row>
    <row r="2792" spans="1:8">
      <c r="A2792" s="5">
        <v>2492</v>
      </c>
      <c r="B2792" s="6" t="str">
        <f>"刘小微"</f>
        <v>刘小微</v>
      </c>
      <c r="C2792" s="6" t="str">
        <f t="shared" si="128"/>
        <v>女</v>
      </c>
      <c r="D2792" s="6" t="str">
        <f>"202128020626"</f>
        <v>202128020626</v>
      </c>
      <c r="E2792" s="10" t="s">
        <v>27</v>
      </c>
      <c r="F2792" s="6" t="s">
        <v>10</v>
      </c>
      <c r="G2792" s="8">
        <v>68.849999999999994</v>
      </c>
      <c r="H2792" s="6"/>
    </row>
    <row r="2793" spans="1:8">
      <c r="A2793" s="5">
        <v>2730</v>
      </c>
      <c r="B2793" s="6" t="str">
        <f>"何韵"</f>
        <v>何韵</v>
      </c>
      <c r="C2793" s="6" t="str">
        <f t="shared" si="128"/>
        <v>女</v>
      </c>
      <c r="D2793" s="6" t="str">
        <f>"202128020627"</f>
        <v>202128020627</v>
      </c>
      <c r="E2793" s="10" t="s">
        <v>27</v>
      </c>
      <c r="F2793" s="6" t="s">
        <v>10</v>
      </c>
      <c r="G2793" s="8">
        <v>61.85</v>
      </c>
      <c r="H2793" s="6"/>
    </row>
    <row r="2794" spans="1:8">
      <c r="A2794" s="5">
        <v>2506</v>
      </c>
      <c r="B2794" s="6" t="str">
        <f>"何炫"</f>
        <v>何炫</v>
      </c>
      <c r="C2794" s="6" t="str">
        <f t="shared" si="128"/>
        <v>女</v>
      </c>
      <c r="D2794" s="6" t="str">
        <f>"202128020628"</f>
        <v>202128020628</v>
      </c>
      <c r="E2794" s="10" t="s">
        <v>27</v>
      </c>
      <c r="F2794" s="6" t="s">
        <v>10</v>
      </c>
      <c r="G2794" s="8">
        <v>52.45</v>
      </c>
      <c r="H2794" s="6"/>
    </row>
    <row r="2795" spans="1:8">
      <c r="A2795" s="5">
        <v>2562</v>
      </c>
      <c r="B2795" s="6" t="str">
        <f>"徐叶"</f>
        <v>徐叶</v>
      </c>
      <c r="C2795" s="6" t="str">
        <f t="shared" si="128"/>
        <v>女</v>
      </c>
      <c r="D2795" s="6" t="str">
        <f>"202128020629"</f>
        <v>202128020629</v>
      </c>
      <c r="E2795" s="10" t="s">
        <v>27</v>
      </c>
      <c r="F2795" s="6" t="s">
        <v>10</v>
      </c>
      <c r="G2795" s="8">
        <v>62.55</v>
      </c>
      <c r="H2795" s="6"/>
    </row>
    <row r="2796" spans="1:8">
      <c r="A2796" s="5">
        <v>2451</v>
      </c>
      <c r="B2796" s="6" t="str">
        <f>"岳苗"</f>
        <v>岳苗</v>
      </c>
      <c r="C2796" s="6" t="str">
        <f t="shared" si="128"/>
        <v>女</v>
      </c>
      <c r="D2796" s="6" t="str">
        <f>"202128020630"</f>
        <v>202128020630</v>
      </c>
      <c r="E2796" s="10" t="s">
        <v>27</v>
      </c>
      <c r="F2796" s="6" t="s">
        <v>10</v>
      </c>
      <c r="G2796" s="8">
        <v>0</v>
      </c>
      <c r="H2796" s="9">
        <v>1</v>
      </c>
    </row>
    <row r="2797" spans="1:8">
      <c r="A2797" s="5">
        <v>2699</v>
      </c>
      <c r="B2797" s="6" t="str">
        <f>"李欢欢"</f>
        <v>李欢欢</v>
      </c>
      <c r="C2797" s="6" t="str">
        <f t="shared" si="128"/>
        <v>女</v>
      </c>
      <c r="D2797" s="6" t="str">
        <f>"202128020701"</f>
        <v>202128020701</v>
      </c>
      <c r="E2797" s="10" t="s">
        <v>27</v>
      </c>
      <c r="F2797" s="6" t="s">
        <v>10</v>
      </c>
      <c r="G2797" s="8">
        <v>62.2</v>
      </c>
      <c r="H2797" s="6"/>
    </row>
    <row r="2798" spans="1:8">
      <c r="A2798" s="5">
        <v>2573</v>
      </c>
      <c r="B2798" s="6" t="str">
        <f>"秦贝贝"</f>
        <v>秦贝贝</v>
      </c>
      <c r="C2798" s="6" t="str">
        <f t="shared" si="128"/>
        <v>女</v>
      </c>
      <c r="D2798" s="6" t="str">
        <f>"202128020702"</f>
        <v>202128020702</v>
      </c>
      <c r="E2798" s="10" t="s">
        <v>27</v>
      </c>
      <c r="F2798" s="6" t="s">
        <v>10</v>
      </c>
      <c r="G2798" s="8">
        <v>52.55</v>
      </c>
      <c r="H2798" s="6"/>
    </row>
    <row r="2799" spans="1:8">
      <c r="A2799" s="5">
        <v>2459</v>
      </c>
      <c r="B2799" s="6" t="str">
        <f>"李玫"</f>
        <v>李玫</v>
      </c>
      <c r="C2799" s="6" t="str">
        <f t="shared" si="128"/>
        <v>女</v>
      </c>
      <c r="D2799" s="6" t="str">
        <f>"202128020703"</f>
        <v>202128020703</v>
      </c>
      <c r="E2799" s="10" t="s">
        <v>27</v>
      </c>
      <c r="F2799" s="6" t="s">
        <v>10</v>
      </c>
      <c r="G2799" s="8">
        <v>58.65</v>
      </c>
      <c r="H2799" s="6"/>
    </row>
    <row r="2800" spans="1:8">
      <c r="A2800" s="5">
        <v>2656</v>
      </c>
      <c r="B2800" s="6" t="str">
        <f>"刘嘉玲"</f>
        <v>刘嘉玲</v>
      </c>
      <c r="C2800" s="6" t="str">
        <f t="shared" si="128"/>
        <v>女</v>
      </c>
      <c r="D2800" s="6" t="str">
        <f>"202128020704"</f>
        <v>202128020704</v>
      </c>
      <c r="E2800" s="10" t="s">
        <v>27</v>
      </c>
      <c r="F2800" s="6" t="s">
        <v>10</v>
      </c>
      <c r="G2800" s="8">
        <v>61.7</v>
      </c>
      <c r="H2800" s="6"/>
    </row>
    <row r="2801" spans="1:8">
      <c r="A2801" s="5">
        <v>2645</v>
      </c>
      <c r="B2801" s="6" t="str">
        <f>"尹满红"</f>
        <v>尹满红</v>
      </c>
      <c r="C2801" s="6" t="str">
        <f t="shared" si="128"/>
        <v>女</v>
      </c>
      <c r="D2801" s="6" t="str">
        <f>"202128020705"</f>
        <v>202128020705</v>
      </c>
      <c r="E2801" s="10" t="s">
        <v>27</v>
      </c>
      <c r="F2801" s="6" t="s">
        <v>10</v>
      </c>
      <c r="G2801" s="8">
        <v>59</v>
      </c>
      <c r="H2801" s="6"/>
    </row>
    <row r="2802" spans="1:8">
      <c r="A2802" s="5">
        <v>2466</v>
      </c>
      <c r="B2802" s="6" t="str">
        <f>"李佩文"</f>
        <v>李佩文</v>
      </c>
      <c r="C2802" s="6" t="str">
        <f t="shared" si="128"/>
        <v>女</v>
      </c>
      <c r="D2802" s="6" t="str">
        <f>"202128020706"</f>
        <v>202128020706</v>
      </c>
      <c r="E2802" s="10" t="s">
        <v>27</v>
      </c>
      <c r="F2802" s="6" t="s">
        <v>10</v>
      </c>
      <c r="G2802" s="8">
        <v>59.7</v>
      </c>
      <c r="H2802" s="6"/>
    </row>
    <row r="2803" spans="1:8">
      <c r="A2803" s="5">
        <v>2502</v>
      </c>
      <c r="B2803" s="6" t="str">
        <f>"田梦玲"</f>
        <v>田梦玲</v>
      </c>
      <c r="C2803" s="6" t="str">
        <f t="shared" si="128"/>
        <v>女</v>
      </c>
      <c r="D2803" s="6" t="str">
        <f>"202128020707"</f>
        <v>202128020707</v>
      </c>
      <c r="E2803" s="10" t="s">
        <v>27</v>
      </c>
      <c r="F2803" s="6" t="s">
        <v>10</v>
      </c>
      <c r="G2803" s="8">
        <v>58.3</v>
      </c>
      <c r="H2803" s="6"/>
    </row>
    <row r="2804" spans="1:8">
      <c r="A2804" s="5">
        <v>2588</v>
      </c>
      <c r="B2804" s="6" t="str">
        <f>"王小艳"</f>
        <v>王小艳</v>
      </c>
      <c r="C2804" s="6" t="str">
        <f t="shared" si="128"/>
        <v>女</v>
      </c>
      <c r="D2804" s="6" t="str">
        <f>"202128020708"</f>
        <v>202128020708</v>
      </c>
      <c r="E2804" s="10" t="s">
        <v>27</v>
      </c>
      <c r="F2804" s="6" t="s">
        <v>10</v>
      </c>
      <c r="G2804" s="8">
        <v>60.4</v>
      </c>
      <c r="H2804" s="6"/>
    </row>
    <row r="2805" spans="1:8">
      <c r="A2805" s="5">
        <v>2541</v>
      </c>
      <c r="B2805" s="6" t="str">
        <f>"张莉"</f>
        <v>张莉</v>
      </c>
      <c r="C2805" s="6" t="str">
        <f t="shared" si="128"/>
        <v>女</v>
      </c>
      <c r="D2805" s="6" t="str">
        <f>"202128020709"</f>
        <v>202128020709</v>
      </c>
      <c r="E2805" s="10" t="s">
        <v>27</v>
      </c>
      <c r="F2805" s="6" t="s">
        <v>10</v>
      </c>
      <c r="G2805" s="8">
        <v>0</v>
      </c>
      <c r="H2805" s="9">
        <v>1</v>
      </c>
    </row>
    <row r="2806" spans="1:8">
      <c r="A2806" s="5">
        <v>2716</v>
      </c>
      <c r="B2806" s="6" t="str">
        <f>"田倩菁"</f>
        <v>田倩菁</v>
      </c>
      <c r="C2806" s="6" t="str">
        <f t="shared" si="128"/>
        <v>女</v>
      </c>
      <c r="D2806" s="6" t="str">
        <f>"202128020710"</f>
        <v>202128020710</v>
      </c>
      <c r="E2806" s="10" t="s">
        <v>27</v>
      </c>
      <c r="F2806" s="6" t="s">
        <v>10</v>
      </c>
      <c r="G2806" s="8">
        <v>71.599999999999994</v>
      </c>
      <c r="H2806" s="6"/>
    </row>
    <row r="2807" spans="1:8">
      <c r="A2807" s="5">
        <v>2674</v>
      </c>
      <c r="B2807" s="6" t="str">
        <f>"付丽"</f>
        <v>付丽</v>
      </c>
      <c r="C2807" s="6" t="str">
        <f t="shared" si="128"/>
        <v>女</v>
      </c>
      <c r="D2807" s="6" t="str">
        <f>"202128020711"</f>
        <v>202128020711</v>
      </c>
      <c r="E2807" s="10" t="s">
        <v>27</v>
      </c>
      <c r="F2807" s="6" t="s">
        <v>10</v>
      </c>
      <c r="G2807" s="8">
        <v>54.7</v>
      </c>
      <c r="H2807" s="6"/>
    </row>
    <row r="2808" spans="1:8">
      <c r="A2808" s="5">
        <v>2622</v>
      </c>
      <c r="B2808" s="6" t="str">
        <f>"罗翠"</f>
        <v>罗翠</v>
      </c>
      <c r="C2808" s="6" t="str">
        <f t="shared" si="128"/>
        <v>女</v>
      </c>
      <c r="D2808" s="6" t="str">
        <f>"202128020712"</f>
        <v>202128020712</v>
      </c>
      <c r="E2808" s="10" t="s">
        <v>27</v>
      </c>
      <c r="F2808" s="6" t="s">
        <v>10</v>
      </c>
      <c r="G2808" s="8">
        <v>65.45</v>
      </c>
      <c r="H2808" s="6"/>
    </row>
    <row r="2809" spans="1:8">
      <c r="A2809" s="5">
        <v>2618</v>
      </c>
      <c r="B2809" s="6" t="str">
        <f>"吴媛媛"</f>
        <v>吴媛媛</v>
      </c>
      <c r="C2809" s="6" t="str">
        <f t="shared" si="128"/>
        <v>女</v>
      </c>
      <c r="D2809" s="6" t="str">
        <f>"202128020713"</f>
        <v>202128020713</v>
      </c>
      <c r="E2809" s="10" t="s">
        <v>27</v>
      </c>
      <c r="F2809" s="6" t="s">
        <v>10</v>
      </c>
      <c r="G2809" s="8">
        <v>66.2</v>
      </c>
      <c r="H2809" s="6"/>
    </row>
    <row r="2810" spans="1:8">
      <c r="A2810" s="5">
        <v>2473</v>
      </c>
      <c r="B2810" s="6" t="str">
        <f>"蒋丹"</f>
        <v>蒋丹</v>
      </c>
      <c r="C2810" s="6" t="str">
        <f t="shared" si="128"/>
        <v>女</v>
      </c>
      <c r="D2810" s="6" t="str">
        <f>"202128020714"</f>
        <v>202128020714</v>
      </c>
      <c r="E2810" s="10" t="s">
        <v>27</v>
      </c>
      <c r="F2810" s="6" t="s">
        <v>10</v>
      </c>
      <c r="G2810" s="8">
        <v>55.3</v>
      </c>
      <c r="H2810" s="6"/>
    </row>
    <row r="2811" spans="1:8">
      <c r="A2811" s="5">
        <v>2662</v>
      </c>
      <c r="B2811" s="6" t="str">
        <f>"孙毅"</f>
        <v>孙毅</v>
      </c>
      <c r="C2811" s="6" t="str">
        <f t="shared" si="128"/>
        <v>女</v>
      </c>
      <c r="D2811" s="6" t="str">
        <f>"202128020715"</f>
        <v>202128020715</v>
      </c>
      <c r="E2811" s="10" t="s">
        <v>27</v>
      </c>
      <c r="F2811" s="6" t="s">
        <v>10</v>
      </c>
      <c r="G2811" s="8">
        <v>61.25</v>
      </c>
      <c r="H2811" s="6"/>
    </row>
    <row r="2812" spans="1:8">
      <c r="A2812" s="5">
        <v>2595</v>
      </c>
      <c r="B2812" s="6" t="str">
        <f>"周佳"</f>
        <v>周佳</v>
      </c>
      <c r="C2812" s="6" t="str">
        <f t="shared" si="128"/>
        <v>女</v>
      </c>
      <c r="D2812" s="6" t="str">
        <f>"202128020716"</f>
        <v>202128020716</v>
      </c>
      <c r="E2812" s="10" t="s">
        <v>27</v>
      </c>
      <c r="F2812" s="6" t="s">
        <v>10</v>
      </c>
      <c r="G2812" s="8">
        <v>60.8</v>
      </c>
      <c r="H2812" s="6"/>
    </row>
    <row r="2813" spans="1:8">
      <c r="A2813" s="5">
        <v>2568</v>
      </c>
      <c r="B2813" s="6" t="str">
        <f>"林紫薇"</f>
        <v>林紫薇</v>
      </c>
      <c r="C2813" s="6" t="str">
        <f t="shared" si="128"/>
        <v>女</v>
      </c>
      <c r="D2813" s="6" t="str">
        <f>"202128020717"</f>
        <v>202128020717</v>
      </c>
      <c r="E2813" s="10" t="s">
        <v>27</v>
      </c>
      <c r="F2813" s="6" t="s">
        <v>10</v>
      </c>
      <c r="G2813" s="8">
        <v>62.2</v>
      </c>
      <c r="H2813" s="6"/>
    </row>
    <row r="2814" spans="1:8">
      <c r="A2814" s="5">
        <v>2631</v>
      </c>
      <c r="B2814" s="6" t="str">
        <f>"唐诗芬"</f>
        <v>唐诗芬</v>
      </c>
      <c r="C2814" s="6" t="str">
        <f t="shared" si="128"/>
        <v>女</v>
      </c>
      <c r="D2814" s="6" t="str">
        <f>"202128020718"</f>
        <v>202128020718</v>
      </c>
      <c r="E2814" s="10" t="s">
        <v>27</v>
      </c>
      <c r="F2814" s="6" t="s">
        <v>10</v>
      </c>
      <c r="G2814" s="8">
        <v>58.8</v>
      </c>
      <c r="H2814" s="6"/>
    </row>
    <row r="2815" spans="1:8">
      <c r="A2815" s="5">
        <v>2748</v>
      </c>
      <c r="B2815" s="6" t="str">
        <f>"雷婧"</f>
        <v>雷婧</v>
      </c>
      <c r="C2815" s="6" t="str">
        <f t="shared" si="128"/>
        <v>女</v>
      </c>
      <c r="D2815" s="6" t="str">
        <f>"202128020719"</f>
        <v>202128020719</v>
      </c>
      <c r="E2815" s="10" t="s">
        <v>27</v>
      </c>
      <c r="F2815" s="6" t="s">
        <v>10</v>
      </c>
      <c r="G2815" s="8">
        <v>57.35</v>
      </c>
      <c r="H2815" s="6"/>
    </row>
    <row r="2816" spans="1:8">
      <c r="A2816" s="5">
        <v>2577</v>
      </c>
      <c r="B2816" s="6" t="str">
        <f>"阳婷"</f>
        <v>阳婷</v>
      </c>
      <c r="C2816" s="6" t="str">
        <f t="shared" si="128"/>
        <v>女</v>
      </c>
      <c r="D2816" s="6" t="str">
        <f>"202128020720"</f>
        <v>202128020720</v>
      </c>
      <c r="E2816" s="10" t="s">
        <v>27</v>
      </c>
      <c r="F2816" s="6" t="s">
        <v>10</v>
      </c>
      <c r="G2816" s="8">
        <v>56.8</v>
      </c>
      <c r="H2816" s="6"/>
    </row>
    <row r="2817" spans="1:8">
      <c r="A2817" s="5">
        <v>2461</v>
      </c>
      <c r="B2817" s="6" t="str">
        <f>"李诗茹"</f>
        <v>李诗茹</v>
      </c>
      <c r="C2817" s="6" t="str">
        <f t="shared" si="128"/>
        <v>女</v>
      </c>
      <c r="D2817" s="6" t="str">
        <f>"202128020721"</f>
        <v>202128020721</v>
      </c>
      <c r="E2817" s="10" t="s">
        <v>27</v>
      </c>
      <c r="F2817" s="6" t="s">
        <v>10</v>
      </c>
      <c r="G2817" s="8">
        <v>60.25</v>
      </c>
      <c r="H2817" s="6"/>
    </row>
    <row r="2818" spans="1:8">
      <c r="A2818" s="5">
        <v>2539</v>
      </c>
      <c r="B2818" s="6" t="str">
        <f>"阳媛媛"</f>
        <v>阳媛媛</v>
      </c>
      <c r="C2818" s="6" t="str">
        <f t="shared" si="128"/>
        <v>女</v>
      </c>
      <c r="D2818" s="6" t="str">
        <f>"202128020722"</f>
        <v>202128020722</v>
      </c>
      <c r="E2818" s="10" t="s">
        <v>27</v>
      </c>
      <c r="F2818" s="6" t="s">
        <v>10</v>
      </c>
      <c r="G2818" s="8">
        <v>54</v>
      </c>
      <c r="H2818" s="6"/>
    </row>
    <row r="2819" spans="1:8">
      <c r="A2819" s="5">
        <v>2495</v>
      </c>
      <c r="B2819" s="6" t="str">
        <f>"莫金金"</f>
        <v>莫金金</v>
      </c>
      <c r="C2819" s="6" t="str">
        <f t="shared" si="128"/>
        <v>女</v>
      </c>
      <c r="D2819" s="6" t="str">
        <f>"202128020723"</f>
        <v>202128020723</v>
      </c>
      <c r="E2819" s="10" t="s">
        <v>27</v>
      </c>
      <c r="F2819" s="6" t="s">
        <v>10</v>
      </c>
      <c r="G2819" s="8">
        <v>48.7</v>
      </c>
      <c r="H2819" s="6"/>
    </row>
    <row r="2820" spans="1:8">
      <c r="A2820" s="5">
        <v>2557</v>
      </c>
      <c r="B2820" s="6" t="str">
        <f>"郑滨辉"</f>
        <v>郑滨辉</v>
      </c>
      <c r="C2820" s="6" t="str">
        <f t="shared" si="128"/>
        <v>女</v>
      </c>
      <c r="D2820" s="6" t="str">
        <f>"202128020724"</f>
        <v>202128020724</v>
      </c>
      <c r="E2820" s="10" t="s">
        <v>27</v>
      </c>
      <c r="F2820" s="6" t="s">
        <v>10</v>
      </c>
      <c r="G2820" s="8">
        <v>52</v>
      </c>
      <c r="H2820" s="6"/>
    </row>
    <row r="2821" spans="1:8">
      <c r="A2821" s="5">
        <v>2572</v>
      </c>
      <c r="B2821" s="6" t="str">
        <f>"孙文慧"</f>
        <v>孙文慧</v>
      </c>
      <c r="C2821" s="6" t="str">
        <f t="shared" si="128"/>
        <v>女</v>
      </c>
      <c r="D2821" s="6" t="str">
        <f>"202128020725"</f>
        <v>202128020725</v>
      </c>
      <c r="E2821" s="10" t="s">
        <v>27</v>
      </c>
      <c r="F2821" s="6" t="s">
        <v>10</v>
      </c>
      <c r="G2821" s="8">
        <v>49.8</v>
      </c>
      <c r="H2821" s="6"/>
    </row>
    <row r="2822" spans="1:8">
      <c r="A2822" s="5">
        <v>2677</v>
      </c>
      <c r="B2822" s="6" t="str">
        <f>"潘雪云"</f>
        <v>潘雪云</v>
      </c>
      <c r="C2822" s="6" t="str">
        <f t="shared" si="128"/>
        <v>女</v>
      </c>
      <c r="D2822" s="6" t="str">
        <f>"202128020726"</f>
        <v>202128020726</v>
      </c>
      <c r="E2822" s="10" t="s">
        <v>27</v>
      </c>
      <c r="F2822" s="6" t="s">
        <v>10</v>
      </c>
      <c r="G2822" s="8">
        <v>44.95</v>
      </c>
      <c r="H2822" s="6"/>
    </row>
    <row r="2823" spans="1:8">
      <c r="A2823" s="5">
        <v>2545</v>
      </c>
      <c r="B2823" s="6" t="str">
        <f>"邓佳"</f>
        <v>邓佳</v>
      </c>
      <c r="C2823" s="6" t="str">
        <f t="shared" si="128"/>
        <v>女</v>
      </c>
      <c r="D2823" s="6" t="str">
        <f>"202128020727"</f>
        <v>202128020727</v>
      </c>
      <c r="E2823" s="10" t="s">
        <v>27</v>
      </c>
      <c r="F2823" s="6" t="s">
        <v>10</v>
      </c>
      <c r="G2823" s="8">
        <v>52.1</v>
      </c>
      <c r="H2823" s="6"/>
    </row>
    <row r="2824" spans="1:8">
      <c r="A2824" s="5">
        <v>2525</v>
      </c>
      <c r="B2824" s="6" t="str">
        <f>"刘子玥"</f>
        <v>刘子玥</v>
      </c>
      <c r="C2824" s="6" t="str">
        <f t="shared" si="128"/>
        <v>女</v>
      </c>
      <c r="D2824" s="6" t="str">
        <f>"202128020728"</f>
        <v>202128020728</v>
      </c>
      <c r="E2824" s="10" t="s">
        <v>27</v>
      </c>
      <c r="F2824" s="6" t="s">
        <v>10</v>
      </c>
      <c r="G2824" s="8">
        <v>51.2</v>
      </c>
      <c r="H2824" s="6"/>
    </row>
    <row r="2825" spans="1:8">
      <c r="A2825" s="5">
        <v>2657</v>
      </c>
      <c r="B2825" s="6" t="str">
        <f>"蒋心芝"</f>
        <v>蒋心芝</v>
      </c>
      <c r="C2825" s="6" t="str">
        <f>"男"</f>
        <v>男</v>
      </c>
      <c r="D2825" s="6" t="str">
        <f>"202128020729"</f>
        <v>202128020729</v>
      </c>
      <c r="E2825" s="10" t="s">
        <v>27</v>
      </c>
      <c r="F2825" s="6" t="s">
        <v>10</v>
      </c>
      <c r="G2825" s="8">
        <v>48.85</v>
      </c>
      <c r="H2825" s="6"/>
    </row>
    <row r="2826" spans="1:8">
      <c r="A2826" s="5">
        <v>2453</v>
      </c>
      <c r="B2826" s="6" t="str">
        <f>"蔡妮玲"</f>
        <v>蔡妮玲</v>
      </c>
      <c r="C2826" s="6" t="str">
        <f t="shared" ref="C2826:C2857" si="129">"女"</f>
        <v>女</v>
      </c>
      <c r="D2826" s="6" t="str">
        <f>"202128020730"</f>
        <v>202128020730</v>
      </c>
      <c r="E2826" s="10" t="s">
        <v>27</v>
      </c>
      <c r="F2826" s="6" t="s">
        <v>10</v>
      </c>
      <c r="G2826" s="8">
        <v>0</v>
      </c>
      <c r="H2826" s="9">
        <v>1</v>
      </c>
    </row>
    <row r="2827" spans="1:8">
      <c r="A2827" s="5">
        <v>2566</v>
      </c>
      <c r="B2827" s="6" t="str">
        <f>"谭晓薇"</f>
        <v>谭晓薇</v>
      </c>
      <c r="C2827" s="6" t="str">
        <f t="shared" si="129"/>
        <v>女</v>
      </c>
      <c r="D2827" s="6" t="str">
        <f>"202128020801"</f>
        <v>202128020801</v>
      </c>
      <c r="E2827" s="10" t="s">
        <v>27</v>
      </c>
      <c r="F2827" s="6" t="s">
        <v>10</v>
      </c>
      <c r="G2827" s="8">
        <v>49.7</v>
      </c>
      <c r="H2827" s="6"/>
    </row>
    <row r="2828" spans="1:8">
      <c r="A2828" s="5">
        <v>2521</v>
      </c>
      <c r="B2828" s="6" t="str">
        <f>"陈思进"</f>
        <v>陈思进</v>
      </c>
      <c r="C2828" s="6" t="str">
        <f t="shared" si="129"/>
        <v>女</v>
      </c>
      <c r="D2828" s="6" t="str">
        <f>"202128020802"</f>
        <v>202128020802</v>
      </c>
      <c r="E2828" s="10" t="s">
        <v>27</v>
      </c>
      <c r="F2828" s="6" t="s">
        <v>10</v>
      </c>
      <c r="G2828" s="8">
        <v>0</v>
      </c>
      <c r="H2828" s="9">
        <v>1</v>
      </c>
    </row>
    <row r="2829" spans="1:8">
      <c r="A2829" s="5">
        <v>2693</v>
      </c>
      <c r="B2829" s="6" t="str">
        <f>"罗珊"</f>
        <v>罗珊</v>
      </c>
      <c r="C2829" s="6" t="str">
        <f t="shared" si="129"/>
        <v>女</v>
      </c>
      <c r="D2829" s="6" t="str">
        <f>"202128020803"</f>
        <v>202128020803</v>
      </c>
      <c r="E2829" s="10" t="s">
        <v>27</v>
      </c>
      <c r="F2829" s="6" t="s">
        <v>10</v>
      </c>
      <c r="G2829" s="8">
        <v>67.5</v>
      </c>
      <c r="H2829" s="6"/>
    </row>
    <row r="2830" spans="1:8">
      <c r="A2830" s="5">
        <v>2641</v>
      </c>
      <c r="B2830" s="6" t="str">
        <f>"刘铮"</f>
        <v>刘铮</v>
      </c>
      <c r="C2830" s="6" t="str">
        <f t="shared" si="129"/>
        <v>女</v>
      </c>
      <c r="D2830" s="6" t="str">
        <f>"202128020804"</f>
        <v>202128020804</v>
      </c>
      <c r="E2830" s="10" t="s">
        <v>27</v>
      </c>
      <c r="F2830" s="6" t="s">
        <v>10</v>
      </c>
      <c r="G2830" s="8">
        <v>58.75</v>
      </c>
      <c r="H2830" s="6"/>
    </row>
    <row r="2831" spans="1:8">
      <c r="A2831" s="5">
        <v>2550</v>
      </c>
      <c r="B2831" s="6" t="str">
        <f>"杨艮春"</f>
        <v>杨艮春</v>
      </c>
      <c r="C2831" s="6" t="str">
        <f t="shared" si="129"/>
        <v>女</v>
      </c>
      <c r="D2831" s="6" t="str">
        <f>"202128020805"</f>
        <v>202128020805</v>
      </c>
      <c r="E2831" s="10" t="s">
        <v>27</v>
      </c>
      <c r="F2831" s="6" t="s">
        <v>10</v>
      </c>
      <c r="G2831" s="8">
        <v>64.8</v>
      </c>
      <c r="H2831" s="6"/>
    </row>
    <row r="2832" spans="1:8">
      <c r="A2832" s="5">
        <v>2711</v>
      </c>
      <c r="B2832" s="6" t="str">
        <f>" 段雪梅"</f>
        <v>段雪梅</v>
      </c>
      <c r="C2832" s="6" t="str">
        <f t="shared" si="129"/>
        <v>女</v>
      </c>
      <c r="D2832" s="6" t="str">
        <f>"202128020806"</f>
        <v>202128020806</v>
      </c>
      <c r="E2832" s="10" t="s">
        <v>27</v>
      </c>
      <c r="F2832" s="6" t="s">
        <v>10</v>
      </c>
      <c r="G2832" s="8">
        <v>54.8</v>
      </c>
      <c r="H2832" s="6"/>
    </row>
    <row r="2833" spans="1:8">
      <c r="A2833" s="5">
        <v>2635</v>
      </c>
      <c r="B2833" s="6" t="str">
        <f>"徐秋红"</f>
        <v>徐秋红</v>
      </c>
      <c r="C2833" s="6" t="str">
        <f t="shared" si="129"/>
        <v>女</v>
      </c>
      <c r="D2833" s="6" t="str">
        <f>"202128020807"</f>
        <v>202128020807</v>
      </c>
      <c r="E2833" s="10" t="s">
        <v>27</v>
      </c>
      <c r="F2833" s="6" t="s">
        <v>10</v>
      </c>
      <c r="G2833" s="8">
        <v>57.6</v>
      </c>
      <c r="H2833" s="6"/>
    </row>
    <row r="2834" spans="1:8">
      <c r="A2834" s="5">
        <v>2727</v>
      </c>
      <c r="B2834" s="6" t="str">
        <f>"唐玥"</f>
        <v>唐玥</v>
      </c>
      <c r="C2834" s="6" t="str">
        <f t="shared" si="129"/>
        <v>女</v>
      </c>
      <c r="D2834" s="6" t="str">
        <f>"202128020808"</f>
        <v>202128020808</v>
      </c>
      <c r="E2834" s="10" t="s">
        <v>27</v>
      </c>
      <c r="F2834" s="6" t="s">
        <v>10</v>
      </c>
      <c r="G2834" s="8">
        <v>57.85</v>
      </c>
      <c r="H2834" s="6"/>
    </row>
    <row r="2835" spans="1:8">
      <c r="A2835" s="5">
        <v>2537</v>
      </c>
      <c r="B2835" s="6" t="str">
        <f>"全巧霞"</f>
        <v>全巧霞</v>
      </c>
      <c r="C2835" s="6" t="str">
        <f t="shared" si="129"/>
        <v>女</v>
      </c>
      <c r="D2835" s="6" t="str">
        <f>"202128020809"</f>
        <v>202128020809</v>
      </c>
      <c r="E2835" s="10" t="s">
        <v>27</v>
      </c>
      <c r="F2835" s="6" t="s">
        <v>10</v>
      </c>
      <c r="G2835" s="8">
        <v>61.65</v>
      </c>
      <c r="H2835" s="6"/>
    </row>
    <row r="2836" spans="1:8">
      <c r="A2836" s="5">
        <v>2494</v>
      </c>
      <c r="B2836" s="6" t="str">
        <f>"张伟平"</f>
        <v>张伟平</v>
      </c>
      <c r="C2836" s="6" t="str">
        <f t="shared" si="129"/>
        <v>女</v>
      </c>
      <c r="D2836" s="6" t="str">
        <f>"202128020810"</f>
        <v>202128020810</v>
      </c>
      <c r="E2836" s="10" t="s">
        <v>27</v>
      </c>
      <c r="F2836" s="6" t="s">
        <v>10</v>
      </c>
      <c r="G2836" s="8">
        <v>63.3</v>
      </c>
      <c r="H2836" s="6"/>
    </row>
    <row r="2837" spans="1:8">
      <c r="A2837" s="5">
        <v>2576</v>
      </c>
      <c r="B2837" s="6" t="str">
        <f>"石颖"</f>
        <v>石颖</v>
      </c>
      <c r="C2837" s="6" t="str">
        <f t="shared" si="129"/>
        <v>女</v>
      </c>
      <c r="D2837" s="6" t="str">
        <f>"202128020811"</f>
        <v>202128020811</v>
      </c>
      <c r="E2837" s="10" t="s">
        <v>27</v>
      </c>
      <c r="F2837" s="6" t="s">
        <v>10</v>
      </c>
      <c r="G2837" s="8">
        <v>39.700000000000003</v>
      </c>
      <c r="H2837" s="6"/>
    </row>
    <row r="2838" spans="1:8">
      <c r="A2838" s="5">
        <v>2482</v>
      </c>
      <c r="B2838" s="6" t="str">
        <f>"张晨"</f>
        <v>张晨</v>
      </c>
      <c r="C2838" s="6" t="str">
        <f t="shared" si="129"/>
        <v>女</v>
      </c>
      <c r="D2838" s="6" t="str">
        <f>"202128020812"</f>
        <v>202128020812</v>
      </c>
      <c r="E2838" s="10" t="s">
        <v>27</v>
      </c>
      <c r="F2838" s="6" t="s">
        <v>10</v>
      </c>
      <c r="G2838" s="8">
        <v>56.25</v>
      </c>
      <c r="H2838" s="6"/>
    </row>
    <row r="2839" spans="1:8">
      <c r="A2839" s="5">
        <v>2549</v>
      </c>
      <c r="B2839" s="6" t="str">
        <f>"粟汶佳"</f>
        <v>粟汶佳</v>
      </c>
      <c r="C2839" s="6" t="str">
        <f t="shared" si="129"/>
        <v>女</v>
      </c>
      <c r="D2839" s="6" t="str">
        <f>"202128020813"</f>
        <v>202128020813</v>
      </c>
      <c r="E2839" s="10" t="s">
        <v>27</v>
      </c>
      <c r="F2839" s="6" t="s">
        <v>10</v>
      </c>
      <c r="G2839" s="8">
        <v>61.7</v>
      </c>
      <c r="H2839" s="6"/>
    </row>
    <row r="2840" spans="1:8">
      <c r="A2840" s="5">
        <v>2529</v>
      </c>
      <c r="B2840" s="6" t="str">
        <f>"郭岚玉"</f>
        <v>郭岚玉</v>
      </c>
      <c r="C2840" s="6" t="str">
        <f t="shared" si="129"/>
        <v>女</v>
      </c>
      <c r="D2840" s="6" t="str">
        <f>"202128020814"</f>
        <v>202128020814</v>
      </c>
      <c r="E2840" s="10" t="s">
        <v>27</v>
      </c>
      <c r="F2840" s="6" t="s">
        <v>10</v>
      </c>
      <c r="G2840" s="8">
        <v>58</v>
      </c>
      <c r="H2840" s="6"/>
    </row>
    <row r="2841" spans="1:8">
      <c r="A2841" s="5">
        <v>2691</v>
      </c>
      <c r="B2841" s="6" t="str">
        <f>"谢嘉欣"</f>
        <v>谢嘉欣</v>
      </c>
      <c r="C2841" s="6" t="str">
        <f t="shared" si="129"/>
        <v>女</v>
      </c>
      <c r="D2841" s="6" t="str">
        <f>"202128020815"</f>
        <v>202128020815</v>
      </c>
      <c r="E2841" s="10" t="s">
        <v>27</v>
      </c>
      <c r="F2841" s="6" t="s">
        <v>10</v>
      </c>
      <c r="G2841" s="8">
        <v>62</v>
      </c>
      <c r="H2841" s="6"/>
    </row>
    <row r="2842" spans="1:8">
      <c r="A2842" s="5">
        <v>2509</v>
      </c>
      <c r="B2842" s="6" t="str">
        <f>"陈攀"</f>
        <v>陈攀</v>
      </c>
      <c r="C2842" s="6" t="str">
        <f t="shared" si="129"/>
        <v>女</v>
      </c>
      <c r="D2842" s="6" t="str">
        <f>"202128020816"</f>
        <v>202128020816</v>
      </c>
      <c r="E2842" s="10" t="s">
        <v>27</v>
      </c>
      <c r="F2842" s="6" t="s">
        <v>10</v>
      </c>
      <c r="G2842" s="8">
        <v>59.15</v>
      </c>
      <c r="H2842" s="6"/>
    </row>
    <row r="2843" spans="1:8">
      <c r="A2843" s="5">
        <v>2647</v>
      </c>
      <c r="B2843" s="6" t="str">
        <f>"李禹谘"</f>
        <v>李禹谘</v>
      </c>
      <c r="C2843" s="6" t="str">
        <f t="shared" si="129"/>
        <v>女</v>
      </c>
      <c r="D2843" s="6" t="str">
        <f>"202128020817"</f>
        <v>202128020817</v>
      </c>
      <c r="E2843" s="10" t="s">
        <v>27</v>
      </c>
      <c r="F2843" s="6" t="s">
        <v>10</v>
      </c>
      <c r="G2843" s="8">
        <v>56.1</v>
      </c>
      <c r="H2843" s="6"/>
    </row>
    <row r="2844" spans="1:8">
      <c r="A2844" s="5">
        <v>2517</v>
      </c>
      <c r="B2844" s="6" t="str">
        <f>"胡慧"</f>
        <v>胡慧</v>
      </c>
      <c r="C2844" s="6" t="str">
        <f t="shared" si="129"/>
        <v>女</v>
      </c>
      <c r="D2844" s="6" t="str">
        <f>"202128020818"</f>
        <v>202128020818</v>
      </c>
      <c r="E2844" s="10" t="s">
        <v>27</v>
      </c>
      <c r="F2844" s="6" t="s">
        <v>10</v>
      </c>
      <c r="G2844" s="8">
        <v>52.25</v>
      </c>
      <c r="H2844" s="6"/>
    </row>
    <row r="2845" spans="1:8">
      <c r="A2845" s="5">
        <v>2465</v>
      </c>
      <c r="B2845" s="6" t="str">
        <f>"舒婷"</f>
        <v>舒婷</v>
      </c>
      <c r="C2845" s="6" t="str">
        <f t="shared" si="129"/>
        <v>女</v>
      </c>
      <c r="D2845" s="6" t="str">
        <f>"202128020819"</f>
        <v>202128020819</v>
      </c>
      <c r="E2845" s="10" t="s">
        <v>27</v>
      </c>
      <c r="F2845" s="6" t="s">
        <v>10</v>
      </c>
      <c r="G2845" s="8">
        <v>63.05</v>
      </c>
      <c r="H2845" s="6"/>
    </row>
    <row r="2846" spans="1:8">
      <c r="A2846" s="5">
        <v>2570</v>
      </c>
      <c r="B2846" s="6" t="str">
        <f>"邓佳怡"</f>
        <v>邓佳怡</v>
      </c>
      <c r="C2846" s="6" t="str">
        <f t="shared" si="129"/>
        <v>女</v>
      </c>
      <c r="D2846" s="6" t="str">
        <f>"202128020820"</f>
        <v>202128020820</v>
      </c>
      <c r="E2846" s="10" t="s">
        <v>27</v>
      </c>
      <c r="F2846" s="6" t="s">
        <v>10</v>
      </c>
      <c r="G2846" s="8">
        <v>0</v>
      </c>
      <c r="H2846" s="9">
        <v>1</v>
      </c>
    </row>
    <row r="2847" spans="1:8">
      <c r="A2847" s="5">
        <v>2714</v>
      </c>
      <c r="B2847" s="6" t="str">
        <f>"曾荣"</f>
        <v>曾荣</v>
      </c>
      <c r="C2847" s="6" t="str">
        <f t="shared" si="129"/>
        <v>女</v>
      </c>
      <c r="D2847" s="6" t="str">
        <f>"202128020821"</f>
        <v>202128020821</v>
      </c>
      <c r="E2847" s="10" t="s">
        <v>27</v>
      </c>
      <c r="F2847" s="6" t="s">
        <v>10</v>
      </c>
      <c r="G2847" s="8">
        <v>63.6</v>
      </c>
      <c r="H2847" s="6"/>
    </row>
    <row r="2848" spans="1:8">
      <c r="A2848" s="5">
        <v>2592</v>
      </c>
      <c r="B2848" s="6" t="str">
        <f>"徐柳姣"</f>
        <v>徐柳姣</v>
      </c>
      <c r="C2848" s="6" t="str">
        <f t="shared" si="129"/>
        <v>女</v>
      </c>
      <c r="D2848" s="6" t="str">
        <f>"202128020822"</f>
        <v>202128020822</v>
      </c>
      <c r="E2848" s="10" t="s">
        <v>27</v>
      </c>
      <c r="F2848" s="6" t="s">
        <v>10</v>
      </c>
      <c r="G2848" s="8">
        <v>58.65</v>
      </c>
      <c r="H2848" s="6"/>
    </row>
    <row r="2849" spans="1:8">
      <c r="A2849" s="5">
        <v>2692</v>
      </c>
      <c r="B2849" s="6" t="str">
        <f>"李良玉"</f>
        <v>李良玉</v>
      </c>
      <c r="C2849" s="6" t="str">
        <f t="shared" si="129"/>
        <v>女</v>
      </c>
      <c r="D2849" s="6" t="str">
        <f>"202128020823"</f>
        <v>202128020823</v>
      </c>
      <c r="E2849" s="10" t="s">
        <v>27</v>
      </c>
      <c r="F2849" s="6" t="s">
        <v>10</v>
      </c>
      <c r="G2849" s="8">
        <v>61.9</v>
      </c>
      <c r="H2849" s="6"/>
    </row>
    <row r="2850" spans="1:8">
      <c r="A2850" s="5">
        <v>2604</v>
      </c>
      <c r="B2850" s="6" t="str">
        <f>"雷惠婷"</f>
        <v>雷惠婷</v>
      </c>
      <c r="C2850" s="6" t="str">
        <f t="shared" si="129"/>
        <v>女</v>
      </c>
      <c r="D2850" s="6" t="str">
        <f>"202128020824"</f>
        <v>202128020824</v>
      </c>
      <c r="E2850" s="10" t="s">
        <v>27</v>
      </c>
      <c r="F2850" s="6" t="s">
        <v>10</v>
      </c>
      <c r="G2850" s="8">
        <v>51.15</v>
      </c>
      <c r="H2850" s="6"/>
    </row>
    <row r="2851" spans="1:8">
      <c r="A2851" s="5">
        <v>2536</v>
      </c>
      <c r="B2851" s="6" t="str">
        <f>"郭菁薇"</f>
        <v>郭菁薇</v>
      </c>
      <c r="C2851" s="6" t="str">
        <f t="shared" si="129"/>
        <v>女</v>
      </c>
      <c r="D2851" s="6" t="str">
        <f>"202128020825"</f>
        <v>202128020825</v>
      </c>
      <c r="E2851" s="10" t="s">
        <v>27</v>
      </c>
      <c r="F2851" s="6" t="s">
        <v>10</v>
      </c>
      <c r="G2851" s="8">
        <v>46.6</v>
      </c>
      <c r="H2851" s="6"/>
    </row>
    <row r="2852" spans="1:8">
      <c r="A2852" s="5">
        <v>2718</v>
      </c>
      <c r="B2852" s="6" t="str">
        <f>"王磊"</f>
        <v>王磊</v>
      </c>
      <c r="C2852" s="6" t="str">
        <f t="shared" si="129"/>
        <v>女</v>
      </c>
      <c r="D2852" s="6" t="str">
        <f>"202128020826"</f>
        <v>202128020826</v>
      </c>
      <c r="E2852" s="10" t="s">
        <v>27</v>
      </c>
      <c r="F2852" s="6" t="s">
        <v>10</v>
      </c>
      <c r="G2852" s="8">
        <v>48.8</v>
      </c>
      <c r="H2852" s="6"/>
    </row>
    <row r="2853" spans="1:8">
      <c r="A2853" s="5">
        <v>2542</v>
      </c>
      <c r="B2853" s="6" t="str">
        <f>"李羚"</f>
        <v>李羚</v>
      </c>
      <c r="C2853" s="6" t="str">
        <f t="shared" si="129"/>
        <v>女</v>
      </c>
      <c r="D2853" s="6" t="str">
        <f>"202128020827"</f>
        <v>202128020827</v>
      </c>
      <c r="E2853" s="10" t="s">
        <v>27</v>
      </c>
      <c r="F2853" s="6" t="s">
        <v>10</v>
      </c>
      <c r="G2853" s="8">
        <v>60.6</v>
      </c>
      <c r="H2853" s="6"/>
    </row>
    <row r="2854" spans="1:8">
      <c r="A2854" s="5">
        <v>2547</v>
      </c>
      <c r="B2854" s="6" t="str">
        <f>"蒋嘉靓"</f>
        <v>蒋嘉靓</v>
      </c>
      <c r="C2854" s="6" t="str">
        <f t="shared" si="129"/>
        <v>女</v>
      </c>
      <c r="D2854" s="6" t="str">
        <f>"202128020828"</f>
        <v>202128020828</v>
      </c>
      <c r="E2854" s="10" t="s">
        <v>27</v>
      </c>
      <c r="F2854" s="6" t="s">
        <v>10</v>
      </c>
      <c r="G2854" s="8">
        <v>63.2</v>
      </c>
      <c r="H2854" s="6"/>
    </row>
    <row r="2855" spans="1:8">
      <c r="A2855" s="5">
        <v>2694</v>
      </c>
      <c r="B2855" s="6" t="str">
        <f>"邱芷玲"</f>
        <v>邱芷玲</v>
      </c>
      <c r="C2855" s="6" t="str">
        <f t="shared" si="129"/>
        <v>女</v>
      </c>
      <c r="D2855" s="6" t="str">
        <f>"202128020829"</f>
        <v>202128020829</v>
      </c>
      <c r="E2855" s="10" t="s">
        <v>27</v>
      </c>
      <c r="F2855" s="6" t="s">
        <v>10</v>
      </c>
      <c r="G2855" s="8">
        <v>51.35</v>
      </c>
      <c r="H2855" s="6"/>
    </row>
    <row r="2856" spans="1:8">
      <c r="A2856" s="5">
        <v>2717</v>
      </c>
      <c r="B2856" s="6" t="str">
        <f>"刘荔芳"</f>
        <v>刘荔芳</v>
      </c>
      <c r="C2856" s="6" t="str">
        <f t="shared" si="129"/>
        <v>女</v>
      </c>
      <c r="D2856" s="6" t="str">
        <f>"202128020830"</f>
        <v>202128020830</v>
      </c>
      <c r="E2856" s="10" t="s">
        <v>27</v>
      </c>
      <c r="F2856" s="6" t="s">
        <v>10</v>
      </c>
      <c r="G2856" s="8">
        <v>61.9</v>
      </c>
      <c r="H2856" s="6"/>
    </row>
    <row r="2857" spans="1:8">
      <c r="A2857" s="5">
        <v>2630</v>
      </c>
      <c r="B2857" s="6" t="str">
        <f>"李娜"</f>
        <v>李娜</v>
      </c>
      <c r="C2857" s="6" t="str">
        <f t="shared" si="129"/>
        <v>女</v>
      </c>
      <c r="D2857" s="6" t="str">
        <f>"202128020901"</f>
        <v>202128020901</v>
      </c>
      <c r="E2857" s="10" t="s">
        <v>27</v>
      </c>
      <c r="F2857" s="6" t="s">
        <v>10</v>
      </c>
      <c r="G2857" s="8">
        <v>59.45</v>
      </c>
      <c r="H2857" s="6"/>
    </row>
    <row r="2858" spans="1:8">
      <c r="A2858" s="5">
        <v>2554</v>
      </c>
      <c r="B2858" s="6" t="str">
        <f>"罗晓雯"</f>
        <v>罗晓雯</v>
      </c>
      <c r="C2858" s="6" t="str">
        <f t="shared" ref="C2858:C2889" si="130">"女"</f>
        <v>女</v>
      </c>
      <c r="D2858" s="6" t="str">
        <f>"202128020902"</f>
        <v>202128020902</v>
      </c>
      <c r="E2858" s="10" t="s">
        <v>27</v>
      </c>
      <c r="F2858" s="6" t="s">
        <v>10</v>
      </c>
      <c r="G2858" s="8">
        <v>65.7</v>
      </c>
      <c r="H2858" s="6"/>
    </row>
    <row r="2859" spans="1:8">
      <c r="A2859" s="5">
        <v>2648</v>
      </c>
      <c r="B2859" s="6" t="str">
        <f>"范婉"</f>
        <v>范婉</v>
      </c>
      <c r="C2859" s="6" t="str">
        <f t="shared" si="130"/>
        <v>女</v>
      </c>
      <c r="D2859" s="6" t="str">
        <f>"202128020903"</f>
        <v>202128020903</v>
      </c>
      <c r="E2859" s="10" t="s">
        <v>27</v>
      </c>
      <c r="F2859" s="6" t="s">
        <v>10</v>
      </c>
      <c r="G2859" s="8">
        <v>47.45</v>
      </c>
      <c r="H2859" s="6"/>
    </row>
    <row r="2860" spans="1:8">
      <c r="A2860" s="5">
        <v>2587</v>
      </c>
      <c r="B2860" s="6" t="str">
        <f>"何朝阳"</f>
        <v>何朝阳</v>
      </c>
      <c r="C2860" s="6" t="str">
        <f t="shared" si="130"/>
        <v>女</v>
      </c>
      <c r="D2860" s="6" t="str">
        <f>"202128020904"</f>
        <v>202128020904</v>
      </c>
      <c r="E2860" s="10" t="s">
        <v>27</v>
      </c>
      <c r="F2860" s="6" t="s">
        <v>10</v>
      </c>
      <c r="G2860" s="8">
        <v>53.95</v>
      </c>
      <c r="H2860" s="6"/>
    </row>
    <row r="2861" spans="1:8">
      <c r="A2861" s="5">
        <v>2476</v>
      </c>
      <c r="B2861" s="6" t="str">
        <f>"吴玉红"</f>
        <v>吴玉红</v>
      </c>
      <c r="C2861" s="6" t="str">
        <f t="shared" si="130"/>
        <v>女</v>
      </c>
      <c r="D2861" s="6" t="str">
        <f>"202128020905"</f>
        <v>202128020905</v>
      </c>
      <c r="E2861" s="10" t="s">
        <v>27</v>
      </c>
      <c r="F2861" s="6" t="s">
        <v>10</v>
      </c>
      <c r="G2861" s="8">
        <v>56.65</v>
      </c>
      <c r="H2861" s="6"/>
    </row>
    <row r="2862" spans="1:8">
      <c r="A2862" s="5">
        <v>2655</v>
      </c>
      <c r="B2862" s="6" t="str">
        <f>"付娟"</f>
        <v>付娟</v>
      </c>
      <c r="C2862" s="6" t="str">
        <f t="shared" si="130"/>
        <v>女</v>
      </c>
      <c r="D2862" s="6" t="str">
        <f>"202128020906"</f>
        <v>202128020906</v>
      </c>
      <c r="E2862" s="10" t="s">
        <v>27</v>
      </c>
      <c r="F2862" s="6" t="s">
        <v>10</v>
      </c>
      <c r="G2862" s="8">
        <v>62.85</v>
      </c>
      <c r="H2862" s="6"/>
    </row>
    <row r="2863" spans="1:8">
      <c r="A2863" s="5">
        <v>2458</v>
      </c>
      <c r="B2863" s="6" t="str">
        <f>"刘海璐"</f>
        <v>刘海璐</v>
      </c>
      <c r="C2863" s="6" t="str">
        <f t="shared" si="130"/>
        <v>女</v>
      </c>
      <c r="D2863" s="6" t="str">
        <f>"202128020907"</f>
        <v>202128020907</v>
      </c>
      <c r="E2863" s="10" t="s">
        <v>27</v>
      </c>
      <c r="F2863" s="6" t="s">
        <v>10</v>
      </c>
      <c r="G2863" s="8">
        <v>53.5</v>
      </c>
      <c r="H2863" s="6"/>
    </row>
    <row r="2864" spans="1:8">
      <c r="A2864" s="5">
        <v>2575</v>
      </c>
      <c r="B2864" s="6" t="str">
        <f>"戴秀"</f>
        <v>戴秀</v>
      </c>
      <c r="C2864" s="6" t="str">
        <f t="shared" si="130"/>
        <v>女</v>
      </c>
      <c r="D2864" s="6" t="str">
        <f>"202128020908"</f>
        <v>202128020908</v>
      </c>
      <c r="E2864" s="10" t="s">
        <v>27</v>
      </c>
      <c r="F2864" s="6" t="s">
        <v>10</v>
      </c>
      <c r="G2864" s="8">
        <v>74.05</v>
      </c>
      <c r="H2864" s="6"/>
    </row>
    <row r="2865" spans="1:8">
      <c r="A2865" s="5">
        <v>2527</v>
      </c>
      <c r="B2865" s="6" t="str">
        <f>"陈舒舒"</f>
        <v>陈舒舒</v>
      </c>
      <c r="C2865" s="6" t="str">
        <f t="shared" si="130"/>
        <v>女</v>
      </c>
      <c r="D2865" s="6" t="str">
        <f>"202128020909"</f>
        <v>202128020909</v>
      </c>
      <c r="E2865" s="10" t="s">
        <v>27</v>
      </c>
      <c r="F2865" s="6" t="s">
        <v>10</v>
      </c>
      <c r="G2865" s="8">
        <v>57.95</v>
      </c>
      <c r="H2865" s="6"/>
    </row>
    <row r="2866" spans="1:8">
      <c r="A2866" s="5">
        <v>2496</v>
      </c>
      <c r="B2866" s="6" t="str">
        <f>"陈紫秀"</f>
        <v>陈紫秀</v>
      </c>
      <c r="C2866" s="6" t="str">
        <f t="shared" si="130"/>
        <v>女</v>
      </c>
      <c r="D2866" s="6" t="str">
        <f>"202128020910"</f>
        <v>202128020910</v>
      </c>
      <c r="E2866" s="10" t="s">
        <v>27</v>
      </c>
      <c r="F2866" s="6" t="s">
        <v>10</v>
      </c>
      <c r="G2866" s="8">
        <v>59.15</v>
      </c>
      <c r="H2866" s="6"/>
    </row>
    <row r="2867" spans="1:8">
      <c r="A2867" s="5">
        <v>2701</v>
      </c>
      <c r="B2867" s="6" t="str">
        <f>"廖园园"</f>
        <v>廖园园</v>
      </c>
      <c r="C2867" s="6" t="str">
        <f t="shared" si="130"/>
        <v>女</v>
      </c>
      <c r="D2867" s="6" t="str">
        <f>"202128020911"</f>
        <v>202128020911</v>
      </c>
      <c r="E2867" s="10" t="s">
        <v>27</v>
      </c>
      <c r="F2867" s="6" t="s">
        <v>10</v>
      </c>
      <c r="G2867" s="8">
        <v>66.349999999999994</v>
      </c>
      <c r="H2867" s="6"/>
    </row>
    <row r="2868" spans="1:8">
      <c r="A2868" s="5">
        <v>2678</v>
      </c>
      <c r="B2868" s="6" t="str">
        <f>"吴秋妹"</f>
        <v>吴秋妹</v>
      </c>
      <c r="C2868" s="6" t="str">
        <f t="shared" si="130"/>
        <v>女</v>
      </c>
      <c r="D2868" s="6" t="str">
        <f>"202128020912"</f>
        <v>202128020912</v>
      </c>
      <c r="E2868" s="10" t="s">
        <v>27</v>
      </c>
      <c r="F2868" s="6" t="s">
        <v>10</v>
      </c>
      <c r="G2868" s="8">
        <v>51.8</v>
      </c>
      <c r="H2868" s="6"/>
    </row>
    <row r="2869" spans="1:8">
      <c r="A2869" s="5">
        <v>2679</v>
      </c>
      <c r="B2869" s="6" t="str">
        <f>"胡雅洁"</f>
        <v>胡雅洁</v>
      </c>
      <c r="C2869" s="6" t="str">
        <f t="shared" si="130"/>
        <v>女</v>
      </c>
      <c r="D2869" s="6" t="str">
        <f>"202128020913"</f>
        <v>202128020913</v>
      </c>
      <c r="E2869" s="10" t="s">
        <v>27</v>
      </c>
      <c r="F2869" s="6" t="s">
        <v>10</v>
      </c>
      <c r="G2869" s="8">
        <v>46.95</v>
      </c>
      <c r="H2869" s="6"/>
    </row>
    <row r="2870" spans="1:8">
      <c r="A2870" s="5">
        <v>2685</v>
      </c>
      <c r="B2870" s="6" t="str">
        <f>"谢琉沚仪"</f>
        <v>谢琉沚仪</v>
      </c>
      <c r="C2870" s="6" t="str">
        <f t="shared" si="130"/>
        <v>女</v>
      </c>
      <c r="D2870" s="6" t="str">
        <f>"202128020914"</f>
        <v>202128020914</v>
      </c>
      <c r="E2870" s="10" t="s">
        <v>27</v>
      </c>
      <c r="F2870" s="6" t="s">
        <v>10</v>
      </c>
      <c r="G2870" s="8">
        <v>55.25</v>
      </c>
      <c r="H2870" s="6"/>
    </row>
    <row r="2871" spans="1:8">
      <c r="A2871" s="5">
        <v>2578</v>
      </c>
      <c r="B2871" s="6" t="str">
        <f>"刘丹"</f>
        <v>刘丹</v>
      </c>
      <c r="C2871" s="6" t="str">
        <f t="shared" si="130"/>
        <v>女</v>
      </c>
      <c r="D2871" s="6" t="str">
        <f>"202128020915"</f>
        <v>202128020915</v>
      </c>
      <c r="E2871" s="10" t="s">
        <v>27</v>
      </c>
      <c r="F2871" s="6" t="s">
        <v>10</v>
      </c>
      <c r="G2871" s="8">
        <v>53.5</v>
      </c>
      <c r="H2871" s="6"/>
    </row>
    <row r="2872" spans="1:8">
      <c r="A2872" s="5">
        <v>2470</v>
      </c>
      <c r="B2872" s="6" t="str">
        <f>"孙林熙"</f>
        <v>孙林熙</v>
      </c>
      <c r="C2872" s="6" t="str">
        <f t="shared" si="130"/>
        <v>女</v>
      </c>
      <c r="D2872" s="6" t="str">
        <f>"202128020916"</f>
        <v>202128020916</v>
      </c>
      <c r="E2872" s="10" t="s">
        <v>27</v>
      </c>
      <c r="F2872" s="6" t="s">
        <v>10</v>
      </c>
      <c r="G2872" s="8">
        <v>48.85</v>
      </c>
      <c r="H2872" s="6"/>
    </row>
    <row r="2873" spans="1:8">
      <c r="A2873" s="5">
        <v>2485</v>
      </c>
      <c r="B2873" s="6" t="str">
        <f>"宁鑫"</f>
        <v>宁鑫</v>
      </c>
      <c r="C2873" s="6" t="str">
        <f t="shared" si="130"/>
        <v>女</v>
      </c>
      <c r="D2873" s="6" t="str">
        <f>"202128020917"</f>
        <v>202128020917</v>
      </c>
      <c r="E2873" s="10" t="s">
        <v>27</v>
      </c>
      <c r="F2873" s="6" t="s">
        <v>10</v>
      </c>
      <c r="G2873" s="8">
        <v>58.9</v>
      </c>
      <c r="H2873" s="6"/>
    </row>
    <row r="2874" spans="1:8">
      <c r="A2874" s="5">
        <v>2713</v>
      </c>
      <c r="B2874" s="6" t="str">
        <f>"刘芳瑜"</f>
        <v>刘芳瑜</v>
      </c>
      <c r="C2874" s="6" t="str">
        <f t="shared" si="130"/>
        <v>女</v>
      </c>
      <c r="D2874" s="6" t="str">
        <f>"202128020918"</f>
        <v>202128020918</v>
      </c>
      <c r="E2874" s="10" t="s">
        <v>27</v>
      </c>
      <c r="F2874" s="6" t="s">
        <v>10</v>
      </c>
      <c r="G2874" s="8">
        <v>68.900000000000006</v>
      </c>
      <c r="H2874" s="6"/>
    </row>
    <row r="2875" spans="1:8">
      <c r="A2875" s="5">
        <v>2747</v>
      </c>
      <c r="B2875" s="6" t="str">
        <f>"黄自清"</f>
        <v>黄自清</v>
      </c>
      <c r="C2875" s="6" t="str">
        <f t="shared" si="130"/>
        <v>女</v>
      </c>
      <c r="D2875" s="6" t="str">
        <f>"202128020919"</f>
        <v>202128020919</v>
      </c>
      <c r="E2875" s="10" t="s">
        <v>27</v>
      </c>
      <c r="F2875" s="6" t="s">
        <v>10</v>
      </c>
      <c r="G2875" s="8">
        <v>52.05</v>
      </c>
      <c r="H2875" s="6"/>
    </row>
    <row r="2876" spans="1:8">
      <c r="A2876" s="5">
        <v>2454</v>
      </c>
      <c r="B2876" s="6" t="str">
        <f>"聂雅琴"</f>
        <v>聂雅琴</v>
      </c>
      <c r="C2876" s="6" t="str">
        <f t="shared" si="130"/>
        <v>女</v>
      </c>
      <c r="D2876" s="6" t="str">
        <f>"202128020920"</f>
        <v>202128020920</v>
      </c>
      <c r="E2876" s="10" t="s">
        <v>27</v>
      </c>
      <c r="F2876" s="6" t="s">
        <v>10</v>
      </c>
      <c r="G2876" s="8">
        <v>0</v>
      </c>
      <c r="H2876" s="9">
        <v>1</v>
      </c>
    </row>
    <row r="2877" spans="1:8">
      <c r="A2877" s="5">
        <v>2637</v>
      </c>
      <c r="B2877" s="6" t="str">
        <f>"胡婷"</f>
        <v>胡婷</v>
      </c>
      <c r="C2877" s="6" t="str">
        <f t="shared" si="130"/>
        <v>女</v>
      </c>
      <c r="D2877" s="6" t="str">
        <f>"202128020921"</f>
        <v>202128020921</v>
      </c>
      <c r="E2877" s="10" t="s">
        <v>27</v>
      </c>
      <c r="F2877" s="6" t="s">
        <v>10</v>
      </c>
      <c r="G2877" s="8">
        <v>49.4</v>
      </c>
      <c r="H2877" s="6"/>
    </row>
    <row r="2878" spans="1:8">
      <c r="A2878" s="5">
        <v>2559</v>
      </c>
      <c r="B2878" s="6" t="str">
        <f>"李木贞"</f>
        <v>李木贞</v>
      </c>
      <c r="C2878" s="6" t="str">
        <f t="shared" si="130"/>
        <v>女</v>
      </c>
      <c r="D2878" s="6" t="str">
        <f>"202128020922"</f>
        <v>202128020922</v>
      </c>
      <c r="E2878" s="10" t="s">
        <v>27</v>
      </c>
      <c r="F2878" s="6" t="s">
        <v>10</v>
      </c>
      <c r="G2878" s="8">
        <v>44.8</v>
      </c>
      <c r="H2878" s="6"/>
    </row>
    <row r="2879" spans="1:8">
      <c r="A2879" s="5">
        <v>2565</v>
      </c>
      <c r="B2879" s="6" t="str">
        <f>"马唯"</f>
        <v>马唯</v>
      </c>
      <c r="C2879" s="6" t="str">
        <f t="shared" si="130"/>
        <v>女</v>
      </c>
      <c r="D2879" s="6" t="str">
        <f>"202128020923"</f>
        <v>202128020923</v>
      </c>
      <c r="E2879" s="10" t="s">
        <v>27</v>
      </c>
      <c r="F2879" s="6" t="s">
        <v>10</v>
      </c>
      <c r="G2879" s="8">
        <v>58.6</v>
      </c>
      <c r="H2879" s="6"/>
    </row>
    <row r="2880" spans="1:8">
      <c r="A2880" s="5">
        <v>2704</v>
      </c>
      <c r="B2880" s="6" t="str">
        <f>"彭玉花"</f>
        <v>彭玉花</v>
      </c>
      <c r="C2880" s="6" t="str">
        <f t="shared" si="130"/>
        <v>女</v>
      </c>
      <c r="D2880" s="6" t="str">
        <f>"202128020924"</f>
        <v>202128020924</v>
      </c>
      <c r="E2880" s="10" t="s">
        <v>27</v>
      </c>
      <c r="F2880" s="6" t="s">
        <v>10</v>
      </c>
      <c r="G2880" s="8">
        <v>60.3</v>
      </c>
      <c r="H2880" s="6"/>
    </row>
    <row r="2881" spans="1:8">
      <c r="A2881" s="5">
        <v>2533</v>
      </c>
      <c r="B2881" s="6" t="str">
        <f>"彭学敏"</f>
        <v>彭学敏</v>
      </c>
      <c r="C2881" s="6" t="str">
        <f t="shared" si="130"/>
        <v>女</v>
      </c>
      <c r="D2881" s="6" t="str">
        <f>"202128020925"</f>
        <v>202128020925</v>
      </c>
      <c r="E2881" s="10" t="s">
        <v>27</v>
      </c>
      <c r="F2881" s="6" t="s">
        <v>10</v>
      </c>
      <c r="G2881" s="8">
        <v>52.2</v>
      </c>
      <c r="H2881" s="6"/>
    </row>
    <row r="2882" spans="1:8">
      <c r="A2882" s="5">
        <v>2664</v>
      </c>
      <c r="B2882" s="6" t="str">
        <f>"曾祎贤"</f>
        <v>曾祎贤</v>
      </c>
      <c r="C2882" s="6" t="str">
        <f t="shared" si="130"/>
        <v>女</v>
      </c>
      <c r="D2882" s="6" t="str">
        <f>"202128020926"</f>
        <v>202128020926</v>
      </c>
      <c r="E2882" s="10" t="s">
        <v>27</v>
      </c>
      <c r="F2882" s="6" t="s">
        <v>10</v>
      </c>
      <c r="G2882" s="8">
        <v>51.45</v>
      </c>
      <c r="H2882" s="6"/>
    </row>
    <row r="2883" spans="1:8">
      <c r="A2883" s="5">
        <v>2639</v>
      </c>
      <c r="B2883" s="6" t="str">
        <f>"刘琳玥"</f>
        <v>刘琳玥</v>
      </c>
      <c r="C2883" s="6" t="str">
        <f t="shared" si="130"/>
        <v>女</v>
      </c>
      <c r="D2883" s="6" t="str">
        <f>"202128020927"</f>
        <v>202128020927</v>
      </c>
      <c r="E2883" s="10" t="s">
        <v>27</v>
      </c>
      <c r="F2883" s="6" t="s">
        <v>10</v>
      </c>
      <c r="G2883" s="8">
        <v>43.1</v>
      </c>
      <c r="H2883" s="6"/>
    </row>
    <row r="2884" spans="1:8">
      <c r="A2884" s="5">
        <v>2601</v>
      </c>
      <c r="B2884" s="6" t="str">
        <f>"陈莹"</f>
        <v>陈莹</v>
      </c>
      <c r="C2884" s="6" t="str">
        <f t="shared" si="130"/>
        <v>女</v>
      </c>
      <c r="D2884" s="6" t="str">
        <f>"202128020928"</f>
        <v>202128020928</v>
      </c>
      <c r="E2884" s="10" t="s">
        <v>27</v>
      </c>
      <c r="F2884" s="6" t="s">
        <v>10</v>
      </c>
      <c r="G2884" s="8">
        <v>65.099999999999994</v>
      </c>
      <c r="H2884" s="6"/>
    </row>
    <row r="2885" spans="1:8">
      <c r="A2885" s="5">
        <v>2752</v>
      </c>
      <c r="B2885" s="6" t="str">
        <f>"阳丽华"</f>
        <v>阳丽华</v>
      </c>
      <c r="C2885" s="6" t="str">
        <f t="shared" si="130"/>
        <v>女</v>
      </c>
      <c r="D2885" s="6" t="str">
        <f>"202128020929"</f>
        <v>202128020929</v>
      </c>
      <c r="E2885" s="10" t="s">
        <v>27</v>
      </c>
      <c r="F2885" s="6" t="s">
        <v>10</v>
      </c>
      <c r="G2885" s="8">
        <v>50.85</v>
      </c>
      <c r="H2885" s="6"/>
    </row>
    <row r="2886" spans="1:8">
      <c r="A2886" s="5">
        <v>2597</v>
      </c>
      <c r="B2886" s="6" t="str">
        <f>"陈雅芝"</f>
        <v>陈雅芝</v>
      </c>
      <c r="C2886" s="6" t="str">
        <f t="shared" si="130"/>
        <v>女</v>
      </c>
      <c r="D2886" s="6" t="str">
        <f>"202128020930"</f>
        <v>202128020930</v>
      </c>
      <c r="E2886" s="10" t="s">
        <v>27</v>
      </c>
      <c r="F2886" s="6" t="s">
        <v>10</v>
      </c>
      <c r="G2886" s="8">
        <v>68.599999999999994</v>
      </c>
      <c r="H2886" s="6"/>
    </row>
    <row r="2887" spans="1:8">
      <c r="A2887" s="5">
        <v>2508</v>
      </c>
      <c r="B2887" s="6" t="str">
        <f>"岳露"</f>
        <v>岳露</v>
      </c>
      <c r="C2887" s="6" t="str">
        <f t="shared" si="130"/>
        <v>女</v>
      </c>
      <c r="D2887" s="6" t="str">
        <f>"202128021001"</f>
        <v>202128021001</v>
      </c>
      <c r="E2887" s="10" t="s">
        <v>27</v>
      </c>
      <c r="F2887" s="6" t="s">
        <v>10</v>
      </c>
      <c r="G2887" s="8">
        <v>57.6</v>
      </c>
      <c r="H2887" s="6"/>
    </row>
    <row r="2888" spans="1:8">
      <c r="A2888" s="5">
        <v>2613</v>
      </c>
      <c r="B2888" s="6" t="str">
        <f>"羊乐"</f>
        <v>羊乐</v>
      </c>
      <c r="C2888" s="6" t="str">
        <f t="shared" si="130"/>
        <v>女</v>
      </c>
      <c r="D2888" s="6" t="str">
        <f>"202128021002"</f>
        <v>202128021002</v>
      </c>
      <c r="E2888" s="10" t="s">
        <v>27</v>
      </c>
      <c r="F2888" s="6" t="s">
        <v>10</v>
      </c>
      <c r="G2888" s="8">
        <v>58.9</v>
      </c>
      <c r="H2888" s="6"/>
    </row>
    <row r="2889" spans="1:8">
      <c r="A2889" s="5">
        <v>2504</v>
      </c>
      <c r="B2889" s="6" t="str">
        <f>"谢增娟"</f>
        <v>谢增娟</v>
      </c>
      <c r="C2889" s="6" t="str">
        <f t="shared" si="130"/>
        <v>女</v>
      </c>
      <c r="D2889" s="6" t="str">
        <f>"202128021003"</f>
        <v>202128021003</v>
      </c>
      <c r="E2889" s="10" t="s">
        <v>27</v>
      </c>
      <c r="F2889" s="6" t="s">
        <v>10</v>
      </c>
      <c r="G2889" s="8">
        <v>59.6</v>
      </c>
      <c r="H2889" s="6"/>
    </row>
    <row r="2890" spans="1:8">
      <c r="A2890" s="5">
        <v>2519</v>
      </c>
      <c r="B2890" s="6" t="str">
        <f>"李海琴"</f>
        <v>李海琴</v>
      </c>
      <c r="C2890" s="6" t="str">
        <f t="shared" ref="C2890:C2912" si="131">"女"</f>
        <v>女</v>
      </c>
      <c r="D2890" s="6" t="str">
        <f>"202128021004"</f>
        <v>202128021004</v>
      </c>
      <c r="E2890" s="10" t="s">
        <v>27</v>
      </c>
      <c r="F2890" s="6" t="s">
        <v>10</v>
      </c>
      <c r="G2890" s="8">
        <v>63.7</v>
      </c>
      <c r="H2890" s="6"/>
    </row>
    <row r="2891" spans="1:8">
      <c r="A2891" s="5">
        <v>2591</v>
      </c>
      <c r="B2891" s="6" t="str">
        <f>"刘莎"</f>
        <v>刘莎</v>
      </c>
      <c r="C2891" s="6" t="str">
        <f t="shared" si="131"/>
        <v>女</v>
      </c>
      <c r="D2891" s="6" t="str">
        <f>"202128021005"</f>
        <v>202128021005</v>
      </c>
      <c r="E2891" s="10" t="s">
        <v>27</v>
      </c>
      <c r="F2891" s="6" t="s">
        <v>10</v>
      </c>
      <c r="G2891" s="8">
        <v>59.8</v>
      </c>
      <c r="H2891" s="6"/>
    </row>
    <row r="2892" spans="1:8">
      <c r="A2892" s="5">
        <v>2739</v>
      </c>
      <c r="B2892" s="6" t="str">
        <f>"蒋雨萱"</f>
        <v>蒋雨萱</v>
      </c>
      <c r="C2892" s="6" t="str">
        <f t="shared" si="131"/>
        <v>女</v>
      </c>
      <c r="D2892" s="6" t="str">
        <f>"202128021006"</f>
        <v>202128021006</v>
      </c>
      <c r="E2892" s="10" t="s">
        <v>27</v>
      </c>
      <c r="F2892" s="6" t="s">
        <v>10</v>
      </c>
      <c r="G2892" s="8">
        <v>47.7</v>
      </c>
      <c r="H2892" s="6"/>
    </row>
    <row r="2893" spans="1:8">
      <c r="A2893" s="5">
        <v>2703</v>
      </c>
      <c r="B2893" s="6" t="str">
        <f>"周永"</f>
        <v>周永</v>
      </c>
      <c r="C2893" s="6" t="str">
        <f t="shared" si="131"/>
        <v>女</v>
      </c>
      <c r="D2893" s="6" t="str">
        <f>"202128021007"</f>
        <v>202128021007</v>
      </c>
      <c r="E2893" s="10" t="s">
        <v>27</v>
      </c>
      <c r="F2893" s="6" t="s">
        <v>10</v>
      </c>
      <c r="G2893" s="8">
        <v>58.95</v>
      </c>
      <c r="H2893" s="6"/>
    </row>
    <row r="2894" spans="1:8">
      <c r="A2894" s="5">
        <v>2652</v>
      </c>
      <c r="B2894" s="6" t="str">
        <f>"彭双浩"</f>
        <v>彭双浩</v>
      </c>
      <c r="C2894" s="6" t="str">
        <f t="shared" si="131"/>
        <v>女</v>
      </c>
      <c r="D2894" s="6" t="str">
        <f>"202128021008"</f>
        <v>202128021008</v>
      </c>
      <c r="E2894" s="10" t="s">
        <v>27</v>
      </c>
      <c r="F2894" s="6" t="s">
        <v>10</v>
      </c>
      <c r="G2894" s="8">
        <v>57</v>
      </c>
      <c r="H2894" s="6"/>
    </row>
    <row r="2895" spans="1:8">
      <c r="A2895" s="5">
        <v>2555</v>
      </c>
      <c r="B2895" s="6" t="str">
        <f>"王雯君"</f>
        <v>王雯君</v>
      </c>
      <c r="C2895" s="6" t="str">
        <f t="shared" si="131"/>
        <v>女</v>
      </c>
      <c r="D2895" s="6" t="str">
        <f>"202128021009"</f>
        <v>202128021009</v>
      </c>
      <c r="E2895" s="10" t="s">
        <v>27</v>
      </c>
      <c r="F2895" s="6" t="s">
        <v>10</v>
      </c>
      <c r="G2895" s="8">
        <v>66.05</v>
      </c>
      <c r="H2895" s="6"/>
    </row>
    <row r="2896" spans="1:8">
      <c r="A2896" s="5">
        <v>2528</v>
      </c>
      <c r="B2896" s="6" t="str">
        <f>"隆紫薇"</f>
        <v>隆紫薇</v>
      </c>
      <c r="C2896" s="6" t="str">
        <f t="shared" si="131"/>
        <v>女</v>
      </c>
      <c r="D2896" s="6" t="str">
        <f>"202128021010"</f>
        <v>202128021010</v>
      </c>
      <c r="E2896" s="10" t="s">
        <v>27</v>
      </c>
      <c r="F2896" s="6" t="s">
        <v>10</v>
      </c>
      <c r="G2896" s="8">
        <v>48.2</v>
      </c>
      <c r="H2896" s="6"/>
    </row>
    <row r="2897" spans="1:8">
      <c r="A2897" s="5">
        <v>2455</v>
      </c>
      <c r="B2897" s="6" t="str">
        <f>"仇艳林"</f>
        <v>仇艳林</v>
      </c>
      <c r="C2897" s="6" t="str">
        <f t="shared" si="131"/>
        <v>女</v>
      </c>
      <c r="D2897" s="6" t="str">
        <f>"202128021011"</f>
        <v>202128021011</v>
      </c>
      <c r="E2897" s="10" t="s">
        <v>27</v>
      </c>
      <c r="F2897" s="6" t="s">
        <v>10</v>
      </c>
      <c r="G2897" s="8">
        <v>0</v>
      </c>
      <c r="H2897" s="9">
        <v>1</v>
      </c>
    </row>
    <row r="2898" spans="1:8">
      <c r="A2898" s="5">
        <v>2707</v>
      </c>
      <c r="B2898" s="6" t="str">
        <f>"曾莹"</f>
        <v>曾莹</v>
      </c>
      <c r="C2898" s="6" t="str">
        <f t="shared" si="131"/>
        <v>女</v>
      </c>
      <c r="D2898" s="6" t="str">
        <f>"202128021012"</f>
        <v>202128021012</v>
      </c>
      <c r="E2898" s="10" t="s">
        <v>27</v>
      </c>
      <c r="F2898" s="6" t="s">
        <v>10</v>
      </c>
      <c r="G2898" s="8">
        <v>61.4</v>
      </c>
      <c r="H2898" s="6"/>
    </row>
    <row r="2899" spans="1:8">
      <c r="A2899" s="5">
        <v>2706</v>
      </c>
      <c r="B2899" s="6" t="str">
        <f>"郑蓉"</f>
        <v>郑蓉</v>
      </c>
      <c r="C2899" s="6" t="str">
        <f t="shared" si="131"/>
        <v>女</v>
      </c>
      <c r="D2899" s="6" t="str">
        <f>"202128021013"</f>
        <v>202128021013</v>
      </c>
      <c r="E2899" s="10" t="s">
        <v>27</v>
      </c>
      <c r="F2899" s="6" t="s">
        <v>10</v>
      </c>
      <c r="G2899" s="8">
        <v>57.9</v>
      </c>
      <c r="H2899" s="6"/>
    </row>
    <row r="2900" spans="1:8">
      <c r="A2900" s="5">
        <v>2457</v>
      </c>
      <c r="B2900" s="6" t="str">
        <f>"张丽"</f>
        <v>张丽</v>
      </c>
      <c r="C2900" s="6" t="str">
        <f t="shared" si="131"/>
        <v>女</v>
      </c>
      <c r="D2900" s="6" t="str">
        <f>"202128021014"</f>
        <v>202128021014</v>
      </c>
      <c r="E2900" s="10" t="s">
        <v>27</v>
      </c>
      <c r="F2900" s="6" t="s">
        <v>10</v>
      </c>
      <c r="G2900" s="8">
        <v>53.25</v>
      </c>
      <c r="H2900" s="6"/>
    </row>
    <row r="2901" spans="1:8">
      <c r="A2901" s="5">
        <v>2720</v>
      </c>
      <c r="B2901" s="6" t="str">
        <f>"周璐"</f>
        <v>周璐</v>
      </c>
      <c r="C2901" s="6" t="str">
        <f t="shared" si="131"/>
        <v>女</v>
      </c>
      <c r="D2901" s="6" t="str">
        <f>"202128021015"</f>
        <v>202128021015</v>
      </c>
      <c r="E2901" s="10" t="s">
        <v>27</v>
      </c>
      <c r="F2901" s="6" t="s">
        <v>10</v>
      </c>
      <c r="G2901" s="8">
        <v>62.1</v>
      </c>
      <c r="H2901" s="6"/>
    </row>
    <row r="2902" spans="1:8">
      <c r="A2902" s="5">
        <v>2553</v>
      </c>
      <c r="B2902" s="6" t="str">
        <f>"肖华燕"</f>
        <v>肖华燕</v>
      </c>
      <c r="C2902" s="6" t="str">
        <f t="shared" si="131"/>
        <v>女</v>
      </c>
      <c r="D2902" s="6" t="str">
        <f>"202128021016"</f>
        <v>202128021016</v>
      </c>
      <c r="E2902" s="10" t="s">
        <v>27</v>
      </c>
      <c r="F2902" s="6" t="s">
        <v>10</v>
      </c>
      <c r="G2902" s="8">
        <v>51.25</v>
      </c>
      <c r="H2902" s="6"/>
    </row>
    <row r="2903" spans="1:8">
      <c r="A2903" s="5">
        <v>2452</v>
      </c>
      <c r="B2903" s="6" t="str">
        <f>"邓芙蓉"</f>
        <v>邓芙蓉</v>
      </c>
      <c r="C2903" s="6" t="str">
        <f t="shared" si="131"/>
        <v>女</v>
      </c>
      <c r="D2903" s="6" t="str">
        <f>"202128021017"</f>
        <v>202128021017</v>
      </c>
      <c r="E2903" s="10" t="s">
        <v>27</v>
      </c>
      <c r="F2903" s="6" t="s">
        <v>10</v>
      </c>
      <c r="G2903" s="8">
        <v>56.05</v>
      </c>
      <c r="H2903" s="6"/>
    </row>
    <row r="2904" spans="1:8">
      <c r="A2904" s="5">
        <v>2634</v>
      </c>
      <c r="B2904" s="6" t="str">
        <f>"何婉晴"</f>
        <v>何婉晴</v>
      </c>
      <c r="C2904" s="6" t="str">
        <f t="shared" si="131"/>
        <v>女</v>
      </c>
      <c r="D2904" s="6" t="str">
        <f>"202128021018"</f>
        <v>202128021018</v>
      </c>
      <c r="E2904" s="10" t="s">
        <v>27</v>
      </c>
      <c r="F2904" s="6" t="s">
        <v>10</v>
      </c>
      <c r="G2904" s="8">
        <v>50.2</v>
      </c>
      <c r="H2904" s="6"/>
    </row>
    <row r="2905" spans="1:8">
      <c r="A2905" s="5">
        <v>2503</v>
      </c>
      <c r="B2905" s="6" t="str">
        <f>"肖雪"</f>
        <v>肖雪</v>
      </c>
      <c r="C2905" s="6" t="str">
        <f t="shared" si="131"/>
        <v>女</v>
      </c>
      <c r="D2905" s="6" t="str">
        <f>"202128021019"</f>
        <v>202128021019</v>
      </c>
      <c r="E2905" s="10" t="s">
        <v>27</v>
      </c>
      <c r="F2905" s="6" t="s">
        <v>10</v>
      </c>
      <c r="G2905" s="8">
        <v>56.85</v>
      </c>
      <c r="H2905" s="6"/>
    </row>
    <row r="2906" spans="1:8">
      <c r="A2906" s="5">
        <v>2493</v>
      </c>
      <c r="B2906" s="6" t="str">
        <f>"杨纯"</f>
        <v>杨纯</v>
      </c>
      <c r="C2906" s="6" t="str">
        <f t="shared" si="131"/>
        <v>女</v>
      </c>
      <c r="D2906" s="6" t="str">
        <f>"202128021020"</f>
        <v>202128021020</v>
      </c>
      <c r="E2906" s="10" t="s">
        <v>27</v>
      </c>
      <c r="F2906" s="6" t="s">
        <v>10</v>
      </c>
      <c r="G2906" s="8">
        <v>60.3</v>
      </c>
      <c r="H2906" s="6"/>
    </row>
    <row r="2907" spans="1:8">
      <c r="A2907" s="5">
        <v>2513</v>
      </c>
      <c r="B2907" s="6" t="str">
        <f>"朱菲菲"</f>
        <v>朱菲菲</v>
      </c>
      <c r="C2907" s="6" t="str">
        <f t="shared" si="131"/>
        <v>女</v>
      </c>
      <c r="D2907" s="6" t="str">
        <f>"202128021021"</f>
        <v>202128021021</v>
      </c>
      <c r="E2907" s="10" t="s">
        <v>27</v>
      </c>
      <c r="F2907" s="6" t="s">
        <v>10</v>
      </c>
      <c r="G2907" s="8">
        <v>54.45</v>
      </c>
      <c r="H2907" s="6"/>
    </row>
    <row r="2908" spans="1:8">
      <c r="A2908" s="5">
        <v>2581</v>
      </c>
      <c r="B2908" s="6" t="str">
        <f>"胡瑾"</f>
        <v>胡瑾</v>
      </c>
      <c r="C2908" s="6" t="str">
        <f t="shared" si="131"/>
        <v>女</v>
      </c>
      <c r="D2908" s="6" t="str">
        <f>"202128021022"</f>
        <v>202128021022</v>
      </c>
      <c r="E2908" s="10" t="s">
        <v>27</v>
      </c>
      <c r="F2908" s="6" t="s">
        <v>10</v>
      </c>
      <c r="G2908" s="8">
        <v>62.7</v>
      </c>
      <c r="H2908" s="6"/>
    </row>
    <row r="2909" spans="1:8">
      <c r="A2909" s="5">
        <v>2488</v>
      </c>
      <c r="B2909" s="6" t="str">
        <f>"赵瑜琦"</f>
        <v>赵瑜琦</v>
      </c>
      <c r="C2909" s="6" t="str">
        <f t="shared" si="131"/>
        <v>女</v>
      </c>
      <c r="D2909" s="6" t="str">
        <f>"202128021023"</f>
        <v>202128021023</v>
      </c>
      <c r="E2909" s="10" t="s">
        <v>27</v>
      </c>
      <c r="F2909" s="6" t="s">
        <v>10</v>
      </c>
      <c r="G2909" s="8">
        <v>52</v>
      </c>
      <c r="H2909" s="6"/>
    </row>
    <row r="2910" spans="1:8">
      <c r="A2910" s="5">
        <v>2535</v>
      </c>
      <c r="B2910" s="6" t="str">
        <f>"安齐"</f>
        <v>安齐</v>
      </c>
      <c r="C2910" s="6" t="str">
        <f t="shared" si="131"/>
        <v>女</v>
      </c>
      <c r="D2910" s="6" t="str">
        <f>"202128021024"</f>
        <v>202128021024</v>
      </c>
      <c r="E2910" s="10" t="s">
        <v>27</v>
      </c>
      <c r="F2910" s="6" t="s">
        <v>10</v>
      </c>
      <c r="G2910" s="8">
        <v>56.25</v>
      </c>
      <c r="H2910" s="6"/>
    </row>
    <row r="2911" spans="1:8">
      <c r="A2911" s="5">
        <v>2659</v>
      </c>
      <c r="B2911" s="6" t="str">
        <f>"黄看星"</f>
        <v>黄看星</v>
      </c>
      <c r="C2911" s="6" t="str">
        <f t="shared" si="131"/>
        <v>女</v>
      </c>
      <c r="D2911" s="6" t="str">
        <f>"202128021025"</f>
        <v>202128021025</v>
      </c>
      <c r="E2911" s="10" t="s">
        <v>27</v>
      </c>
      <c r="F2911" s="6" t="s">
        <v>10</v>
      </c>
      <c r="G2911" s="8">
        <v>55.45</v>
      </c>
      <c r="H2911" s="6"/>
    </row>
    <row r="2912" spans="1:8">
      <c r="A2912" s="5">
        <v>2479</v>
      </c>
      <c r="B2912" s="6" t="str">
        <f>"雷雅红"</f>
        <v>雷雅红</v>
      </c>
      <c r="C2912" s="6" t="str">
        <f t="shared" si="131"/>
        <v>女</v>
      </c>
      <c r="D2912" s="6" t="str">
        <f>"202128021026"</f>
        <v>202128021026</v>
      </c>
      <c r="E2912" s="10" t="s">
        <v>27</v>
      </c>
      <c r="F2912" s="6" t="s">
        <v>10</v>
      </c>
      <c r="G2912" s="8">
        <v>46.5</v>
      </c>
      <c r="H2912" s="6"/>
    </row>
    <row r="2913" spans="1:8">
      <c r="A2913" s="5">
        <v>2605</v>
      </c>
      <c r="B2913" s="6" t="str">
        <f>"李瑾"</f>
        <v>李瑾</v>
      </c>
      <c r="C2913" s="6" t="str">
        <f>"男"</f>
        <v>男</v>
      </c>
      <c r="D2913" s="6" t="str">
        <f>"202128021027"</f>
        <v>202128021027</v>
      </c>
      <c r="E2913" s="10" t="s">
        <v>27</v>
      </c>
      <c r="F2913" s="6" t="s">
        <v>10</v>
      </c>
      <c r="G2913" s="8">
        <v>48.2</v>
      </c>
      <c r="H2913" s="6"/>
    </row>
    <row r="2914" spans="1:8">
      <c r="A2914" s="5">
        <v>2582</v>
      </c>
      <c r="B2914" s="6" t="str">
        <f>"鄢炫君"</f>
        <v>鄢炫君</v>
      </c>
      <c r="C2914" s="6" t="str">
        <f t="shared" ref="C2914:C2927" si="132">"女"</f>
        <v>女</v>
      </c>
      <c r="D2914" s="6" t="str">
        <f>"202128021028"</f>
        <v>202128021028</v>
      </c>
      <c r="E2914" s="10" t="s">
        <v>27</v>
      </c>
      <c r="F2914" s="6" t="s">
        <v>10</v>
      </c>
      <c r="G2914" s="8">
        <v>52</v>
      </c>
      <c r="H2914" s="6"/>
    </row>
    <row r="2915" spans="1:8">
      <c r="A2915" s="5">
        <v>2507</v>
      </c>
      <c r="B2915" s="6" t="str">
        <f>"欧阳雯妍"</f>
        <v>欧阳雯妍</v>
      </c>
      <c r="C2915" s="6" t="str">
        <f t="shared" si="132"/>
        <v>女</v>
      </c>
      <c r="D2915" s="6" t="str">
        <f>"202128021029"</f>
        <v>202128021029</v>
      </c>
      <c r="E2915" s="10" t="s">
        <v>27</v>
      </c>
      <c r="F2915" s="6" t="s">
        <v>10</v>
      </c>
      <c r="G2915" s="8">
        <v>54.2</v>
      </c>
      <c r="H2915" s="6"/>
    </row>
    <row r="2916" spans="1:8">
      <c r="A2916" s="5">
        <v>2491</v>
      </c>
      <c r="B2916" s="6" t="str">
        <f>"肖茜"</f>
        <v>肖茜</v>
      </c>
      <c r="C2916" s="6" t="str">
        <f t="shared" si="132"/>
        <v>女</v>
      </c>
      <c r="D2916" s="6" t="str">
        <f>"202128021030"</f>
        <v>202128021030</v>
      </c>
      <c r="E2916" s="10" t="s">
        <v>27</v>
      </c>
      <c r="F2916" s="6" t="s">
        <v>10</v>
      </c>
      <c r="G2916" s="8">
        <v>62.05</v>
      </c>
      <c r="H2916" s="6"/>
    </row>
    <row r="2917" spans="1:8">
      <c r="A2917" s="5">
        <v>2617</v>
      </c>
      <c r="B2917" s="6" t="str">
        <f>"唐佳丽"</f>
        <v>唐佳丽</v>
      </c>
      <c r="C2917" s="6" t="str">
        <f t="shared" si="132"/>
        <v>女</v>
      </c>
      <c r="D2917" s="6" t="str">
        <f>"202128021501"</f>
        <v>202128021501</v>
      </c>
      <c r="E2917" s="10" t="s">
        <v>27</v>
      </c>
      <c r="F2917" s="6" t="s">
        <v>10</v>
      </c>
      <c r="G2917" s="8">
        <v>61.4</v>
      </c>
      <c r="H2917" s="6"/>
    </row>
    <row r="2918" spans="1:8">
      <c r="A2918" s="5">
        <v>2486</v>
      </c>
      <c r="B2918" s="6" t="str">
        <f>"费思伊"</f>
        <v>费思伊</v>
      </c>
      <c r="C2918" s="6" t="str">
        <f t="shared" si="132"/>
        <v>女</v>
      </c>
      <c r="D2918" s="6" t="str">
        <f>"202128021502"</f>
        <v>202128021502</v>
      </c>
      <c r="E2918" s="10" t="s">
        <v>27</v>
      </c>
      <c r="F2918" s="6" t="s">
        <v>10</v>
      </c>
      <c r="G2918" s="8">
        <v>0</v>
      </c>
      <c r="H2918" s="9">
        <v>1</v>
      </c>
    </row>
    <row r="2919" spans="1:8">
      <c r="A2919" s="5">
        <v>2700</v>
      </c>
      <c r="B2919" s="6" t="str">
        <f>"杨悦"</f>
        <v>杨悦</v>
      </c>
      <c r="C2919" s="6" t="str">
        <f t="shared" si="132"/>
        <v>女</v>
      </c>
      <c r="D2919" s="6" t="str">
        <f>"202128021503"</f>
        <v>202128021503</v>
      </c>
      <c r="E2919" s="10" t="s">
        <v>27</v>
      </c>
      <c r="F2919" s="6" t="s">
        <v>10</v>
      </c>
      <c r="G2919" s="8">
        <v>60.9</v>
      </c>
      <c r="H2919" s="6"/>
    </row>
    <row r="2920" spans="1:8">
      <c r="A2920" s="5">
        <v>2616</v>
      </c>
      <c r="B2920" s="6" t="str">
        <f>"黄蓉"</f>
        <v>黄蓉</v>
      </c>
      <c r="C2920" s="6" t="str">
        <f t="shared" si="132"/>
        <v>女</v>
      </c>
      <c r="D2920" s="6" t="str">
        <f>"202128021504"</f>
        <v>202128021504</v>
      </c>
      <c r="E2920" s="10" t="s">
        <v>27</v>
      </c>
      <c r="F2920" s="6" t="s">
        <v>10</v>
      </c>
      <c r="G2920" s="8">
        <v>60.3</v>
      </c>
      <c r="H2920" s="6"/>
    </row>
    <row r="2921" spans="1:8">
      <c r="A2921" s="5">
        <v>2522</v>
      </c>
      <c r="B2921" s="6" t="str">
        <f>"刘子璐"</f>
        <v>刘子璐</v>
      </c>
      <c r="C2921" s="6" t="str">
        <f t="shared" si="132"/>
        <v>女</v>
      </c>
      <c r="D2921" s="6" t="str">
        <f>"202128021505"</f>
        <v>202128021505</v>
      </c>
      <c r="E2921" s="10" t="s">
        <v>27</v>
      </c>
      <c r="F2921" s="6" t="s">
        <v>10</v>
      </c>
      <c r="G2921" s="8">
        <v>59.8</v>
      </c>
      <c r="H2921" s="6"/>
    </row>
    <row r="2922" spans="1:8">
      <c r="A2922" s="5">
        <v>2515</v>
      </c>
      <c r="B2922" s="6" t="str">
        <f>"陈婷婷"</f>
        <v>陈婷婷</v>
      </c>
      <c r="C2922" s="6" t="str">
        <f t="shared" si="132"/>
        <v>女</v>
      </c>
      <c r="D2922" s="6" t="str">
        <f>"202128021506"</f>
        <v>202128021506</v>
      </c>
      <c r="E2922" s="10" t="s">
        <v>27</v>
      </c>
      <c r="F2922" s="6" t="s">
        <v>10</v>
      </c>
      <c r="G2922" s="8">
        <v>60.55</v>
      </c>
      <c r="H2922" s="6"/>
    </row>
    <row r="2923" spans="1:8">
      <c r="A2923" s="5">
        <v>2516</v>
      </c>
      <c r="B2923" s="6" t="str">
        <f>"张曼"</f>
        <v>张曼</v>
      </c>
      <c r="C2923" s="6" t="str">
        <f t="shared" si="132"/>
        <v>女</v>
      </c>
      <c r="D2923" s="6" t="str">
        <f>"202128021507"</f>
        <v>202128021507</v>
      </c>
      <c r="E2923" s="10" t="s">
        <v>27</v>
      </c>
      <c r="F2923" s="6" t="s">
        <v>10</v>
      </c>
      <c r="G2923" s="8">
        <v>56.65</v>
      </c>
      <c r="H2923" s="6"/>
    </row>
    <row r="2924" spans="1:8">
      <c r="A2924" s="5">
        <v>2499</v>
      </c>
      <c r="B2924" s="6" t="str">
        <f>"吴婷"</f>
        <v>吴婷</v>
      </c>
      <c r="C2924" s="6" t="str">
        <f t="shared" si="132"/>
        <v>女</v>
      </c>
      <c r="D2924" s="6" t="str">
        <f>"202128021508"</f>
        <v>202128021508</v>
      </c>
      <c r="E2924" s="10" t="s">
        <v>27</v>
      </c>
      <c r="F2924" s="6" t="s">
        <v>10</v>
      </c>
      <c r="G2924" s="8">
        <v>60.9</v>
      </c>
      <c r="H2924" s="6"/>
    </row>
    <row r="2925" spans="1:8">
      <c r="A2925" s="5">
        <v>2684</v>
      </c>
      <c r="B2925" s="6" t="str">
        <f>"姜婕"</f>
        <v>姜婕</v>
      </c>
      <c r="C2925" s="6" t="str">
        <f t="shared" si="132"/>
        <v>女</v>
      </c>
      <c r="D2925" s="6" t="str">
        <f>"202128021509"</f>
        <v>202128021509</v>
      </c>
      <c r="E2925" s="10" t="s">
        <v>27</v>
      </c>
      <c r="F2925" s="6" t="s">
        <v>10</v>
      </c>
      <c r="G2925" s="8">
        <v>49.05</v>
      </c>
      <c r="H2925" s="6"/>
    </row>
    <row r="2926" spans="1:8">
      <c r="A2926" s="5">
        <v>2462</v>
      </c>
      <c r="B2926" s="6" t="str">
        <f>"雷媚"</f>
        <v>雷媚</v>
      </c>
      <c r="C2926" s="6" t="str">
        <f t="shared" si="132"/>
        <v>女</v>
      </c>
      <c r="D2926" s="6" t="str">
        <f>"202128021510"</f>
        <v>202128021510</v>
      </c>
      <c r="E2926" s="10" t="s">
        <v>27</v>
      </c>
      <c r="F2926" s="6" t="s">
        <v>10</v>
      </c>
      <c r="G2926" s="8">
        <v>60.6</v>
      </c>
      <c r="H2926" s="6"/>
    </row>
    <row r="2927" spans="1:8">
      <c r="A2927" s="5">
        <v>3006</v>
      </c>
      <c r="B2927" s="6" t="str">
        <f>"张小娟"</f>
        <v>张小娟</v>
      </c>
      <c r="C2927" s="6" t="str">
        <f t="shared" si="132"/>
        <v>女</v>
      </c>
      <c r="D2927" s="6" t="str">
        <f>"202129031714"</f>
        <v>202129031714</v>
      </c>
      <c r="E2927" s="10" t="s">
        <v>27</v>
      </c>
      <c r="F2927" s="6" t="s">
        <v>11</v>
      </c>
      <c r="G2927" s="8">
        <v>70.2</v>
      </c>
      <c r="H2927" s="6"/>
    </row>
    <row r="2928" spans="1:8">
      <c r="A2928" s="5">
        <v>2886</v>
      </c>
      <c r="B2928" s="6" t="str">
        <f>"杨立格"</f>
        <v>杨立格</v>
      </c>
      <c r="C2928" s="6" t="str">
        <f>"男"</f>
        <v>男</v>
      </c>
      <c r="D2928" s="6" t="str">
        <f>"202129031715"</f>
        <v>202129031715</v>
      </c>
      <c r="E2928" s="10" t="s">
        <v>27</v>
      </c>
      <c r="F2928" s="6" t="s">
        <v>11</v>
      </c>
      <c r="G2928" s="8">
        <v>81.2</v>
      </c>
      <c r="H2928" s="6"/>
    </row>
    <row r="2929" spans="1:8">
      <c r="A2929" s="5">
        <v>3174</v>
      </c>
      <c r="B2929" s="6" t="str">
        <f>"李建"</f>
        <v>李建</v>
      </c>
      <c r="C2929" s="6" t="str">
        <f>"男"</f>
        <v>男</v>
      </c>
      <c r="D2929" s="6" t="str">
        <f>"202129031716"</f>
        <v>202129031716</v>
      </c>
      <c r="E2929" s="10" t="s">
        <v>27</v>
      </c>
      <c r="F2929" s="6" t="s">
        <v>11</v>
      </c>
      <c r="G2929" s="8">
        <v>85.85</v>
      </c>
      <c r="H2929" s="6"/>
    </row>
    <row r="2930" spans="1:8">
      <c r="A2930" s="5">
        <v>2827</v>
      </c>
      <c r="B2930" s="6" t="str">
        <f>"王娟"</f>
        <v>王娟</v>
      </c>
      <c r="C2930" s="6" t="str">
        <f>"女"</f>
        <v>女</v>
      </c>
      <c r="D2930" s="6" t="str">
        <f>"202129031717"</f>
        <v>202129031717</v>
      </c>
      <c r="E2930" s="10" t="s">
        <v>27</v>
      </c>
      <c r="F2930" s="6" t="s">
        <v>11</v>
      </c>
      <c r="G2930" s="8">
        <v>84.65</v>
      </c>
      <c r="H2930" s="6"/>
    </row>
    <row r="2931" spans="1:8">
      <c r="A2931" s="5">
        <v>3044</v>
      </c>
      <c r="B2931" s="6" t="str">
        <f>"钟敏"</f>
        <v>钟敏</v>
      </c>
      <c r="C2931" s="6" t="str">
        <f>"女"</f>
        <v>女</v>
      </c>
      <c r="D2931" s="6" t="str">
        <f>"202129031718"</f>
        <v>202129031718</v>
      </c>
      <c r="E2931" s="10" t="s">
        <v>27</v>
      </c>
      <c r="F2931" s="6" t="s">
        <v>11</v>
      </c>
      <c r="G2931" s="8">
        <v>88.6</v>
      </c>
      <c r="H2931" s="6"/>
    </row>
    <row r="2932" spans="1:8">
      <c r="A2932" s="5">
        <v>2845</v>
      </c>
      <c r="B2932" s="6" t="str">
        <f>"卢颖"</f>
        <v>卢颖</v>
      </c>
      <c r="C2932" s="6" t="str">
        <f>"女"</f>
        <v>女</v>
      </c>
      <c r="D2932" s="6" t="str">
        <f>"202129031719"</f>
        <v>202129031719</v>
      </c>
      <c r="E2932" s="10" t="s">
        <v>27</v>
      </c>
      <c r="F2932" s="6" t="s">
        <v>11</v>
      </c>
      <c r="G2932" s="8">
        <v>80.75</v>
      </c>
      <c r="H2932" s="6"/>
    </row>
    <row r="2933" spans="1:8">
      <c r="A2933" s="5">
        <v>2990</v>
      </c>
      <c r="B2933" s="6" t="str">
        <f>"孙权辉"</f>
        <v>孙权辉</v>
      </c>
      <c r="C2933" s="6" t="str">
        <f>"男"</f>
        <v>男</v>
      </c>
      <c r="D2933" s="6" t="str">
        <f>"202129031720"</f>
        <v>202129031720</v>
      </c>
      <c r="E2933" s="10" t="s">
        <v>27</v>
      </c>
      <c r="F2933" s="6" t="s">
        <v>11</v>
      </c>
      <c r="G2933" s="8">
        <v>86.55</v>
      </c>
      <c r="H2933" s="6"/>
    </row>
    <row r="2934" spans="1:8">
      <c r="A2934" s="5">
        <v>3249</v>
      </c>
      <c r="B2934" s="6" t="str">
        <f>"段星星"</f>
        <v>段星星</v>
      </c>
      <c r="C2934" s="6" t="str">
        <f>"女"</f>
        <v>女</v>
      </c>
      <c r="D2934" s="6" t="str">
        <f>"202129031721"</f>
        <v>202129031721</v>
      </c>
      <c r="E2934" s="10" t="s">
        <v>27</v>
      </c>
      <c r="F2934" s="6" t="s">
        <v>11</v>
      </c>
      <c r="G2934" s="8">
        <v>63.65</v>
      </c>
      <c r="H2934" s="6"/>
    </row>
    <row r="2935" spans="1:8">
      <c r="A2935" s="5">
        <v>2897</v>
      </c>
      <c r="B2935" s="6" t="str">
        <f>"雷丹凤"</f>
        <v>雷丹凤</v>
      </c>
      <c r="C2935" s="6" t="str">
        <f>"女"</f>
        <v>女</v>
      </c>
      <c r="D2935" s="6" t="str">
        <f>"202129031722"</f>
        <v>202129031722</v>
      </c>
      <c r="E2935" s="10" t="s">
        <v>27</v>
      </c>
      <c r="F2935" s="6" t="s">
        <v>11</v>
      </c>
      <c r="G2935" s="8">
        <v>82.3</v>
      </c>
      <c r="H2935" s="6"/>
    </row>
    <row r="2936" spans="1:8">
      <c r="A2936" s="5">
        <v>2815</v>
      </c>
      <c r="B2936" s="6" t="str">
        <f>"伍斯缘"</f>
        <v>伍斯缘</v>
      </c>
      <c r="C2936" s="6" t="str">
        <f>"女"</f>
        <v>女</v>
      </c>
      <c r="D2936" s="6" t="str">
        <f>"202129031723"</f>
        <v>202129031723</v>
      </c>
      <c r="E2936" s="10" t="s">
        <v>27</v>
      </c>
      <c r="F2936" s="6" t="s">
        <v>11</v>
      </c>
      <c r="G2936" s="8">
        <v>75.599999999999994</v>
      </c>
      <c r="H2936" s="6"/>
    </row>
    <row r="2937" spans="1:8">
      <c r="A2937" s="5">
        <v>2947</v>
      </c>
      <c r="B2937" s="6" t="str">
        <f>"邓海梦"</f>
        <v>邓海梦</v>
      </c>
      <c r="C2937" s="6" t="str">
        <f>"女"</f>
        <v>女</v>
      </c>
      <c r="D2937" s="6" t="str">
        <f>"202129031724"</f>
        <v>202129031724</v>
      </c>
      <c r="E2937" s="10" t="s">
        <v>27</v>
      </c>
      <c r="F2937" s="6" t="s">
        <v>11</v>
      </c>
      <c r="G2937" s="8">
        <v>75.150000000000006</v>
      </c>
      <c r="H2937" s="6"/>
    </row>
    <row r="2938" spans="1:8">
      <c r="A2938" s="5">
        <v>2939</v>
      </c>
      <c r="B2938" s="6" t="str">
        <f>"周艳飞"</f>
        <v>周艳飞</v>
      </c>
      <c r="C2938" s="6" t="str">
        <f>"女"</f>
        <v>女</v>
      </c>
      <c r="D2938" s="6" t="str">
        <f>"202129031725"</f>
        <v>202129031725</v>
      </c>
      <c r="E2938" s="10" t="s">
        <v>27</v>
      </c>
      <c r="F2938" s="6" t="s">
        <v>11</v>
      </c>
      <c r="G2938" s="8">
        <v>94.75</v>
      </c>
      <c r="H2938" s="6"/>
    </row>
    <row r="2939" spans="1:8">
      <c r="A2939" s="5">
        <v>3009</v>
      </c>
      <c r="B2939" s="6" t="str">
        <f>"刘钦里"</f>
        <v>刘钦里</v>
      </c>
      <c r="C2939" s="6" t="str">
        <f>"男"</f>
        <v>男</v>
      </c>
      <c r="D2939" s="6" t="str">
        <f>"202129031726"</f>
        <v>202129031726</v>
      </c>
      <c r="E2939" s="10" t="s">
        <v>27</v>
      </c>
      <c r="F2939" s="6" t="s">
        <v>11</v>
      </c>
      <c r="G2939" s="8">
        <v>81.650000000000006</v>
      </c>
      <c r="H2939" s="6"/>
    </row>
    <row r="2940" spans="1:8">
      <c r="A2940" s="5">
        <v>3080</v>
      </c>
      <c r="B2940" s="6" t="str">
        <f>"肖婧敏"</f>
        <v>肖婧敏</v>
      </c>
      <c r="C2940" s="6" t="str">
        <f t="shared" ref="C2940:C2967" si="133">"女"</f>
        <v>女</v>
      </c>
      <c r="D2940" s="6" t="str">
        <f>"202129031727"</f>
        <v>202129031727</v>
      </c>
      <c r="E2940" s="10" t="s">
        <v>27</v>
      </c>
      <c r="F2940" s="6" t="s">
        <v>11</v>
      </c>
      <c r="G2940" s="8">
        <v>69.25</v>
      </c>
      <c r="H2940" s="6"/>
    </row>
    <row r="2941" spans="1:8">
      <c r="A2941" s="5">
        <v>3237</v>
      </c>
      <c r="B2941" s="6" t="str">
        <f>"钟丹"</f>
        <v>钟丹</v>
      </c>
      <c r="C2941" s="6" t="str">
        <f t="shared" si="133"/>
        <v>女</v>
      </c>
      <c r="D2941" s="6" t="str">
        <f>"202129031728"</f>
        <v>202129031728</v>
      </c>
      <c r="E2941" s="10" t="s">
        <v>27</v>
      </c>
      <c r="F2941" s="6" t="s">
        <v>11</v>
      </c>
      <c r="G2941" s="8">
        <v>93.3</v>
      </c>
      <c r="H2941" s="6"/>
    </row>
    <row r="2942" spans="1:8">
      <c r="A2942" s="5">
        <v>3104</v>
      </c>
      <c r="B2942" s="6" t="str">
        <f>"何文华"</f>
        <v>何文华</v>
      </c>
      <c r="C2942" s="6" t="str">
        <f t="shared" si="133"/>
        <v>女</v>
      </c>
      <c r="D2942" s="6" t="str">
        <f>"202129031729"</f>
        <v>202129031729</v>
      </c>
      <c r="E2942" s="10" t="s">
        <v>27</v>
      </c>
      <c r="F2942" s="6" t="s">
        <v>11</v>
      </c>
      <c r="G2942" s="8">
        <v>90.1</v>
      </c>
      <c r="H2942" s="6"/>
    </row>
    <row r="2943" spans="1:8">
      <c r="A2943" s="5">
        <v>2980</v>
      </c>
      <c r="B2943" s="6" t="str">
        <f>"林佳莹"</f>
        <v>林佳莹</v>
      </c>
      <c r="C2943" s="6" t="str">
        <f t="shared" si="133"/>
        <v>女</v>
      </c>
      <c r="D2943" s="6" t="str">
        <f>"202129031730"</f>
        <v>202129031730</v>
      </c>
      <c r="E2943" s="10" t="s">
        <v>27</v>
      </c>
      <c r="F2943" s="6" t="s">
        <v>11</v>
      </c>
      <c r="G2943" s="8">
        <v>77.45</v>
      </c>
      <c r="H2943" s="6"/>
    </row>
    <row r="2944" spans="1:8">
      <c r="A2944" s="5">
        <v>3202</v>
      </c>
      <c r="B2944" s="6" t="str">
        <f>"陈小青"</f>
        <v>陈小青</v>
      </c>
      <c r="C2944" s="6" t="str">
        <f t="shared" si="133"/>
        <v>女</v>
      </c>
      <c r="D2944" s="6" t="str">
        <f>"202129031801"</f>
        <v>202129031801</v>
      </c>
      <c r="E2944" s="10" t="s">
        <v>27</v>
      </c>
      <c r="F2944" s="6" t="s">
        <v>11</v>
      </c>
      <c r="G2944" s="8">
        <v>65.900000000000006</v>
      </c>
      <c r="H2944" s="6"/>
    </row>
    <row r="2945" spans="1:8">
      <c r="A2945" s="5">
        <v>2967</v>
      </c>
      <c r="B2945" s="6" t="str">
        <f>"唐治容"</f>
        <v>唐治容</v>
      </c>
      <c r="C2945" s="6" t="str">
        <f t="shared" si="133"/>
        <v>女</v>
      </c>
      <c r="D2945" s="6" t="str">
        <f>"202129031802"</f>
        <v>202129031802</v>
      </c>
      <c r="E2945" s="10" t="s">
        <v>27</v>
      </c>
      <c r="F2945" s="6" t="s">
        <v>11</v>
      </c>
      <c r="G2945" s="8">
        <v>57.8</v>
      </c>
      <c r="H2945" s="6"/>
    </row>
    <row r="2946" spans="1:8">
      <c r="A2946" s="5">
        <v>2824</v>
      </c>
      <c r="B2946" s="6" t="str">
        <f>"李子怡"</f>
        <v>李子怡</v>
      </c>
      <c r="C2946" s="6" t="str">
        <f t="shared" si="133"/>
        <v>女</v>
      </c>
      <c r="D2946" s="6" t="str">
        <f>"202129031803"</f>
        <v>202129031803</v>
      </c>
      <c r="E2946" s="10" t="s">
        <v>27</v>
      </c>
      <c r="F2946" s="6" t="s">
        <v>11</v>
      </c>
      <c r="G2946" s="8">
        <v>77.75</v>
      </c>
      <c r="H2946" s="6"/>
    </row>
    <row r="2947" spans="1:8">
      <c r="A2947" s="5">
        <v>3157</v>
      </c>
      <c r="B2947" s="6" t="str">
        <f>"张师佳"</f>
        <v>张师佳</v>
      </c>
      <c r="C2947" s="6" t="str">
        <f t="shared" si="133"/>
        <v>女</v>
      </c>
      <c r="D2947" s="6" t="str">
        <f>"202129031804"</f>
        <v>202129031804</v>
      </c>
      <c r="E2947" s="10" t="s">
        <v>27</v>
      </c>
      <c r="F2947" s="6" t="s">
        <v>11</v>
      </c>
      <c r="G2947" s="8">
        <v>76.2</v>
      </c>
      <c r="H2947" s="6"/>
    </row>
    <row r="2948" spans="1:8">
      <c r="A2948" s="5">
        <v>3189</v>
      </c>
      <c r="B2948" s="6" t="str">
        <f>"张雯露"</f>
        <v>张雯露</v>
      </c>
      <c r="C2948" s="6" t="str">
        <f t="shared" si="133"/>
        <v>女</v>
      </c>
      <c r="D2948" s="6" t="str">
        <f>"202129031805"</f>
        <v>202129031805</v>
      </c>
      <c r="E2948" s="10" t="s">
        <v>27</v>
      </c>
      <c r="F2948" s="6" t="s">
        <v>11</v>
      </c>
      <c r="G2948" s="8">
        <v>72.900000000000006</v>
      </c>
      <c r="H2948" s="6"/>
    </row>
    <row r="2949" spans="1:8">
      <c r="A2949" s="5">
        <v>2964</v>
      </c>
      <c r="B2949" s="6" t="str">
        <f>"刘神威"</f>
        <v>刘神威</v>
      </c>
      <c r="C2949" s="6" t="str">
        <f t="shared" si="133"/>
        <v>女</v>
      </c>
      <c r="D2949" s="6" t="str">
        <f>"202129031806"</f>
        <v>202129031806</v>
      </c>
      <c r="E2949" s="10" t="s">
        <v>27</v>
      </c>
      <c r="F2949" s="6" t="s">
        <v>11</v>
      </c>
      <c r="G2949" s="8">
        <v>43.75</v>
      </c>
      <c r="H2949" s="6"/>
    </row>
    <row r="2950" spans="1:8">
      <c r="A2950" s="5">
        <v>2887</v>
      </c>
      <c r="B2950" s="6" t="str">
        <f>"唐璐璐"</f>
        <v>唐璐璐</v>
      </c>
      <c r="C2950" s="6" t="str">
        <f t="shared" si="133"/>
        <v>女</v>
      </c>
      <c r="D2950" s="6" t="str">
        <f>"202129031807"</f>
        <v>202129031807</v>
      </c>
      <c r="E2950" s="10" t="s">
        <v>27</v>
      </c>
      <c r="F2950" s="6" t="s">
        <v>11</v>
      </c>
      <c r="G2950" s="8">
        <v>56.65</v>
      </c>
      <c r="H2950" s="6"/>
    </row>
    <row r="2951" spans="1:8">
      <c r="A2951" s="5">
        <v>3182</v>
      </c>
      <c r="B2951" s="6" t="str">
        <f>"周俊"</f>
        <v>周俊</v>
      </c>
      <c r="C2951" s="6" t="str">
        <f t="shared" si="133"/>
        <v>女</v>
      </c>
      <c r="D2951" s="6" t="str">
        <f>"202129031808"</f>
        <v>202129031808</v>
      </c>
      <c r="E2951" s="10" t="s">
        <v>27</v>
      </c>
      <c r="F2951" s="6" t="s">
        <v>11</v>
      </c>
      <c r="G2951" s="8">
        <v>72.5</v>
      </c>
      <c r="H2951" s="6"/>
    </row>
    <row r="2952" spans="1:8">
      <c r="A2952" s="5">
        <v>3252</v>
      </c>
      <c r="B2952" s="6" t="str">
        <f>"周玮"</f>
        <v>周玮</v>
      </c>
      <c r="C2952" s="6" t="str">
        <f t="shared" si="133"/>
        <v>女</v>
      </c>
      <c r="D2952" s="6" t="str">
        <f>"202129031809"</f>
        <v>202129031809</v>
      </c>
      <c r="E2952" s="10" t="s">
        <v>27</v>
      </c>
      <c r="F2952" s="6" t="s">
        <v>11</v>
      </c>
      <c r="G2952" s="8">
        <v>89.3</v>
      </c>
      <c r="H2952" s="6"/>
    </row>
    <row r="2953" spans="1:8">
      <c r="A2953" s="5">
        <v>2765</v>
      </c>
      <c r="B2953" s="6" t="str">
        <f>"胡平萍"</f>
        <v>胡平萍</v>
      </c>
      <c r="C2953" s="6" t="str">
        <f t="shared" si="133"/>
        <v>女</v>
      </c>
      <c r="D2953" s="6" t="str">
        <f>"202129031810"</f>
        <v>202129031810</v>
      </c>
      <c r="E2953" s="10" t="s">
        <v>27</v>
      </c>
      <c r="F2953" s="6" t="s">
        <v>11</v>
      </c>
      <c r="G2953" s="8">
        <v>0</v>
      </c>
      <c r="H2953" s="9">
        <v>1</v>
      </c>
    </row>
    <row r="2954" spans="1:8">
      <c r="A2954" s="5">
        <v>2807</v>
      </c>
      <c r="B2954" s="6" t="str">
        <f>"黄妍洁"</f>
        <v>黄妍洁</v>
      </c>
      <c r="C2954" s="6" t="str">
        <f t="shared" si="133"/>
        <v>女</v>
      </c>
      <c r="D2954" s="6" t="str">
        <f>"202129031811"</f>
        <v>202129031811</v>
      </c>
      <c r="E2954" s="10" t="s">
        <v>27</v>
      </c>
      <c r="F2954" s="6" t="s">
        <v>11</v>
      </c>
      <c r="G2954" s="8">
        <v>0</v>
      </c>
      <c r="H2954" s="9">
        <v>1</v>
      </c>
    </row>
    <row r="2955" spans="1:8">
      <c r="A2955" s="5">
        <v>2857</v>
      </c>
      <c r="B2955" s="6" t="str">
        <f>"谢玲玲"</f>
        <v>谢玲玲</v>
      </c>
      <c r="C2955" s="6" t="str">
        <f t="shared" si="133"/>
        <v>女</v>
      </c>
      <c r="D2955" s="6" t="str">
        <f>"202129031812"</f>
        <v>202129031812</v>
      </c>
      <c r="E2955" s="10" t="s">
        <v>27</v>
      </c>
      <c r="F2955" s="6" t="s">
        <v>11</v>
      </c>
      <c r="G2955" s="8">
        <v>89</v>
      </c>
      <c r="H2955" s="6"/>
    </row>
    <row r="2956" spans="1:8">
      <c r="A2956" s="5">
        <v>3056</v>
      </c>
      <c r="B2956" s="6" t="str">
        <f>"吕盈盈"</f>
        <v>吕盈盈</v>
      </c>
      <c r="C2956" s="6" t="str">
        <f t="shared" si="133"/>
        <v>女</v>
      </c>
      <c r="D2956" s="6" t="str">
        <f>"202129031813"</f>
        <v>202129031813</v>
      </c>
      <c r="E2956" s="10" t="s">
        <v>27</v>
      </c>
      <c r="F2956" s="6" t="s">
        <v>11</v>
      </c>
      <c r="G2956" s="8">
        <v>39.1</v>
      </c>
      <c r="H2956" s="6"/>
    </row>
    <row r="2957" spans="1:8">
      <c r="A2957" s="5">
        <v>2834</v>
      </c>
      <c r="B2957" s="6" t="str">
        <f>"龙方玉"</f>
        <v>龙方玉</v>
      </c>
      <c r="C2957" s="6" t="str">
        <f t="shared" si="133"/>
        <v>女</v>
      </c>
      <c r="D2957" s="6" t="str">
        <f>"202129031814"</f>
        <v>202129031814</v>
      </c>
      <c r="E2957" s="10" t="s">
        <v>27</v>
      </c>
      <c r="F2957" s="6" t="s">
        <v>11</v>
      </c>
      <c r="G2957" s="8">
        <v>78.599999999999994</v>
      </c>
      <c r="H2957" s="6"/>
    </row>
    <row r="2958" spans="1:8">
      <c r="A2958" s="5">
        <v>2784</v>
      </c>
      <c r="B2958" s="6" t="str">
        <f>"叶秀芝"</f>
        <v>叶秀芝</v>
      </c>
      <c r="C2958" s="6" t="str">
        <f t="shared" si="133"/>
        <v>女</v>
      </c>
      <c r="D2958" s="6" t="str">
        <f>"202129031815"</f>
        <v>202129031815</v>
      </c>
      <c r="E2958" s="10" t="s">
        <v>27</v>
      </c>
      <c r="F2958" s="6" t="s">
        <v>11</v>
      </c>
      <c r="G2958" s="8">
        <v>50.6</v>
      </c>
      <c r="H2958" s="6"/>
    </row>
    <row r="2959" spans="1:8">
      <c r="A2959" s="5">
        <v>3022</v>
      </c>
      <c r="B2959" s="6" t="str">
        <f>"乔志春"</f>
        <v>乔志春</v>
      </c>
      <c r="C2959" s="6" t="str">
        <f t="shared" si="133"/>
        <v>女</v>
      </c>
      <c r="D2959" s="6" t="str">
        <f>"202129031816"</f>
        <v>202129031816</v>
      </c>
      <c r="E2959" s="10" t="s">
        <v>27</v>
      </c>
      <c r="F2959" s="6" t="s">
        <v>11</v>
      </c>
      <c r="G2959" s="8">
        <v>74.05</v>
      </c>
      <c r="H2959" s="6"/>
    </row>
    <row r="2960" spans="1:8">
      <c r="A2960" s="5">
        <v>3253</v>
      </c>
      <c r="B2960" s="6" t="str">
        <f>"石景辉"</f>
        <v>石景辉</v>
      </c>
      <c r="C2960" s="6" t="str">
        <f t="shared" si="133"/>
        <v>女</v>
      </c>
      <c r="D2960" s="6" t="str">
        <f>"202129031817"</f>
        <v>202129031817</v>
      </c>
      <c r="E2960" s="10" t="s">
        <v>27</v>
      </c>
      <c r="F2960" s="6" t="s">
        <v>11</v>
      </c>
      <c r="G2960" s="8">
        <v>72.099999999999994</v>
      </c>
      <c r="H2960" s="6"/>
    </row>
    <row r="2961" spans="1:8">
      <c r="A2961" s="5">
        <v>3084</v>
      </c>
      <c r="B2961" s="6" t="str">
        <f>"胡哲"</f>
        <v>胡哲</v>
      </c>
      <c r="C2961" s="6" t="str">
        <f t="shared" si="133"/>
        <v>女</v>
      </c>
      <c r="D2961" s="6" t="str">
        <f>"202129031818"</f>
        <v>202129031818</v>
      </c>
      <c r="E2961" s="10" t="s">
        <v>27</v>
      </c>
      <c r="F2961" s="6" t="s">
        <v>11</v>
      </c>
      <c r="G2961" s="8">
        <v>45.5</v>
      </c>
      <c r="H2961" s="6"/>
    </row>
    <row r="2962" spans="1:8">
      <c r="A2962" s="5">
        <v>2856</v>
      </c>
      <c r="B2962" s="6" t="str">
        <f>"吴成茂"</f>
        <v>吴成茂</v>
      </c>
      <c r="C2962" s="6" t="str">
        <f t="shared" si="133"/>
        <v>女</v>
      </c>
      <c r="D2962" s="6" t="str">
        <f>"202129031819"</f>
        <v>202129031819</v>
      </c>
      <c r="E2962" s="10" t="s">
        <v>27</v>
      </c>
      <c r="F2962" s="6" t="s">
        <v>11</v>
      </c>
      <c r="G2962" s="8">
        <v>86.8</v>
      </c>
      <c r="H2962" s="6"/>
    </row>
    <row r="2963" spans="1:8">
      <c r="A2963" s="5">
        <v>2873</v>
      </c>
      <c r="B2963" s="6" t="str">
        <f>"周洁颖"</f>
        <v>周洁颖</v>
      </c>
      <c r="C2963" s="6" t="str">
        <f t="shared" si="133"/>
        <v>女</v>
      </c>
      <c r="D2963" s="6" t="str">
        <f>"202129031820"</f>
        <v>202129031820</v>
      </c>
      <c r="E2963" s="10" t="s">
        <v>27</v>
      </c>
      <c r="F2963" s="6" t="s">
        <v>11</v>
      </c>
      <c r="G2963" s="8">
        <v>61.05</v>
      </c>
      <c r="H2963" s="6"/>
    </row>
    <row r="2964" spans="1:8">
      <c r="A2964" s="5">
        <v>2844</v>
      </c>
      <c r="B2964" s="6" t="str">
        <f>"银萍"</f>
        <v>银萍</v>
      </c>
      <c r="C2964" s="6" t="str">
        <f t="shared" si="133"/>
        <v>女</v>
      </c>
      <c r="D2964" s="6" t="str">
        <f>"202129031821"</f>
        <v>202129031821</v>
      </c>
      <c r="E2964" s="10" t="s">
        <v>27</v>
      </c>
      <c r="F2964" s="6" t="s">
        <v>11</v>
      </c>
      <c r="G2964" s="8">
        <v>63.75</v>
      </c>
      <c r="H2964" s="6"/>
    </row>
    <row r="2965" spans="1:8">
      <c r="A2965" s="5">
        <v>3013</v>
      </c>
      <c r="B2965" s="6" t="str">
        <f>"李萍"</f>
        <v>李萍</v>
      </c>
      <c r="C2965" s="6" t="str">
        <f t="shared" si="133"/>
        <v>女</v>
      </c>
      <c r="D2965" s="6" t="str">
        <f>"202129031822"</f>
        <v>202129031822</v>
      </c>
      <c r="E2965" s="10" t="s">
        <v>27</v>
      </c>
      <c r="F2965" s="6" t="s">
        <v>11</v>
      </c>
      <c r="G2965" s="8">
        <v>69.55</v>
      </c>
      <c r="H2965" s="6"/>
    </row>
    <row r="2966" spans="1:8">
      <c r="A2966" s="5">
        <v>3236</v>
      </c>
      <c r="B2966" s="6" t="str">
        <f>"赵芳"</f>
        <v>赵芳</v>
      </c>
      <c r="C2966" s="6" t="str">
        <f t="shared" si="133"/>
        <v>女</v>
      </c>
      <c r="D2966" s="6" t="str">
        <f>"202129031823"</f>
        <v>202129031823</v>
      </c>
      <c r="E2966" s="10" t="s">
        <v>27</v>
      </c>
      <c r="F2966" s="6" t="s">
        <v>11</v>
      </c>
      <c r="G2966" s="8">
        <v>44.35</v>
      </c>
      <c r="H2966" s="6"/>
    </row>
    <row r="2967" spans="1:8">
      <c r="A2967" s="5">
        <v>3262</v>
      </c>
      <c r="B2967" s="6" t="str">
        <f>"李雯霞"</f>
        <v>李雯霞</v>
      </c>
      <c r="C2967" s="6" t="str">
        <f t="shared" si="133"/>
        <v>女</v>
      </c>
      <c r="D2967" s="6" t="str">
        <f>"202129031824"</f>
        <v>202129031824</v>
      </c>
      <c r="E2967" s="10" t="s">
        <v>27</v>
      </c>
      <c r="F2967" s="6" t="s">
        <v>11</v>
      </c>
      <c r="G2967" s="8">
        <v>57.1</v>
      </c>
      <c r="H2967" s="6"/>
    </row>
    <row r="2968" spans="1:8">
      <c r="A2968" s="5">
        <v>3031</v>
      </c>
      <c r="B2968" s="6" t="str">
        <f>"胡佩文"</f>
        <v>胡佩文</v>
      </c>
      <c r="C2968" s="6" t="str">
        <f>"男"</f>
        <v>男</v>
      </c>
      <c r="D2968" s="6" t="str">
        <f>"202129031825"</f>
        <v>202129031825</v>
      </c>
      <c r="E2968" s="10" t="s">
        <v>27</v>
      </c>
      <c r="F2968" s="6" t="s">
        <v>11</v>
      </c>
      <c r="G2968" s="8">
        <v>78.849999999999994</v>
      </c>
      <c r="H2968" s="6"/>
    </row>
    <row r="2969" spans="1:8">
      <c r="A2969" s="5">
        <v>2792</v>
      </c>
      <c r="B2969" s="6" t="str">
        <f>"肖顺利"</f>
        <v>肖顺利</v>
      </c>
      <c r="C2969" s="6" t="str">
        <f>"男"</f>
        <v>男</v>
      </c>
      <c r="D2969" s="6" t="str">
        <f>"202129031826"</f>
        <v>202129031826</v>
      </c>
      <c r="E2969" s="10" t="s">
        <v>27</v>
      </c>
      <c r="F2969" s="6" t="s">
        <v>11</v>
      </c>
      <c r="G2969" s="8">
        <v>54.3</v>
      </c>
      <c r="H2969" s="6"/>
    </row>
    <row r="2970" spans="1:8">
      <c r="A2970" s="5">
        <v>3190</v>
      </c>
      <c r="B2970" s="6" t="str">
        <f>"曾科"</f>
        <v>曾科</v>
      </c>
      <c r="C2970" s="6" t="str">
        <f>"男"</f>
        <v>男</v>
      </c>
      <c r="D2970" s="6" t="str">
        <f>"202129031827"</f>
        <v>202129031827</v>
      </c>
      <c r="E2970" s="10" t="s">
        <v>27</v>
      </c>
      <c r="F2970" s="6" t="s">
        <v>11</v>
      </c>
      <c r="G2970" s="8">
        <v>83.1</v>
      </c>
      <c r="H2970" s="6"/>
    </row>
    <row r="2971" spans="1:8">
      <c r="A2971" s="5">
        <v>3058</v>
      </c>
      <c r="B2971" s="6" t="str">
        <f>"张菊花"</f>
        <v>张菊花</v>
      </c>
      <c r="C2971" s="6" t="str">
        <f>"女"</f>
        <v>女</v>
      </c>
      <c r="D2971" s="6" t="str">
        <f>"202129031828"</f>
        <v>202129031828</v>
      </c>
      <c r="E2971" s="10" t="s">
        <v>27</v>
      </c>
      <c r="F2971" s="6" t="s">
        <v>11</v>
      </c>
      <c r="G2971" s="8">
        <v>83.85</v>
      </c>
      <c r="H2971" s="6"/>
    </row>
    <row r="2972" spans="1:8">
      <c r="A2972" s="5">
        <v>3175</v>
      </c>
      <c r="B2972" s="6" t="str">
        <f>"杨君"</f>
        <v>杨君</v>
      </c>
      <c r="C2972" s="6" t="str">
        <f>"男"</f>
        <v>男</v>
      </c>
      <c r="D2972" s="6" t="str">
        <f>"202129031829"</f>
        <v>202129031829</v>
      </c>
      <c r="E2972" s="10" t="s">
        <v>27</v>
      </c>
      <c r="F2972" s="6" t="s">
        <v>11</v>
      </c>
      <c r="G2972" s="8">
        <v>67.8</v>
      </c>
      <c r="H2972" s="6"/>
    </row>
    <row r="2973" spans="1:8">
      <c r="A2973" s="5">
        <v>3212</v>
      </c>
      <c r="B2973" s="6" t="str">
        <f>"吕富灵"</f>
        <v>吕富灵</v>
      </c>
      <c r="C2973" s="6" t="str">
        <f>"女"</f>
        <v>女</v>
      </c>
      <c r="D2973" s="6" t="str">
        <f>"202129031830"</f>
        <v>202129031830</v>
      </c>
      <c r="E2973" s="10" t="s">
        <v>27</v>
      </c>
      <c r="F2973" s="6" t="s">
        <v>11</v>
      </c>
      <c r="G2973" s="8">
        <v>55.45</v>
      </c>
      <c r="H2973" s="6"/>
    </row>
    <row r="2974" spans="1:8">
      <c r="A2974" s="5">
        <v>2954</v>
      </c>
      <c r="B2974" s="6" t="str">
        <f>"熊乐"</f>
        <v>熊乐</v>
      </c>
      <c r="C2974" s="6" t="str">
        <f>"女"</f>
        <v>女</v>
      </c>
      <c r="D2974" s="6" t="str">
        <f>"202129031901"</f>
        <v>202129031901</v>
      </c>
      <c r="E2974" s="10" t="s">
        <v>27</v>
      </c>
      <c r="F2974" s="6" t="s">
        <v>11</v>
      </c>
      <c r="G2974" s="8">
        <v>84.3</v>
      </c>
      <c r="H2974" s="6"/>
    </row>
    <row r="2975" spans="1:8">
      <c r="A2975" s="5">
        <v>2940</v>
      </c>
      <c r="B2975" s="6" t="str">
        <f>"曾海莉"</f>
        <v>曾海莉</v>
      </c>
      <c r="C2975" s="6" t="str">
        <f>"女"</f>
        <v>女</v>
      </c>
      <c r="D2975" s="6" t="str">
        <f>"202129031902"</f>
        <v>202129031902</v>
      </c>
      <c r="E2975" s="10" t="s">
        <v>27</v>
      </c>
      <c r="F2975" s="6" t="s">
        <v>11</v>
      </c>
      <c r="G2975" s="8">
        <v>57.4</v>
      </c>
      <c r="H2975" s="6"/>
    </row>
    <row r="2976" spans="1:8">
      <c r="A2976" s="5">
        <v>2852</v>
      </c>
      <c r="B2976" s="6" t="str">
        <f>"岳娟"</f>
        <v>岳娟</v>
      </c>
      <c r="C2976" s="6" t="str">
        <f>"女"</f>
        <v>女</v>
      </c>
      <c r="D2976" s="6" t="str">
        <f>"202129031903"</f>
        <v>202129031903</v>
      </c>
      <c r="E2976" s="10" t="s">
        <v>27</v>
      </c>
      <c r="F2976" s="6" t="s">
        <v>11</v>
      </c>
      <c r="G2976" s="8">
        <v>67.650000000000006</v>
      </c>
      <c r="H2976" s="6"/>
    </row>
    <row r="2977" spans="1:8">
      <c r="A2977" s="5">
        <v>3264</v>
      </c>
      <c r="B2977" s="6" t="str">
        <f>"龙会洵"</f>
        <v>龙会洵</v>
      </c>
      <c r="C2977" s="6" t="str">
        <f>"男"</f>
        <v>男</v>
      </c>
      <c r="D2977" s="6" t="str">
        <f>"202129031904"</f>
        <v>202129031904</v>
      </c>
      <c r="E2977" s="10" t="s">
        <v>27</v>
      </c>
      <c r="F2977" s="6" t="s">
        <v>11</v>
      </c>
      <c r="G2977" s="8">
        <v>43.9</v>
      </c>
      <c r="H2977" s="6"/>
    </row>
    <row r="2978" spans="1:8">
      <c r="A2978" s="5">
        <v>2823</v>
      </c>
      <c r="B2978" s="6" t="str">
        <f>"曹婷"</f>
        <v>曹婷</v>
      </c>
      <c r="C2978" s="6" t="str">
        <f>"女"</f>
        <v>女</v>
      </c>
      <c r="D2978" s="6" t="str">
        <f>"202129031905"</f>
        <v>202129031905</v>
      </c>
      <c r="E2978" s="10" t="s">
        <v>27</v>
      </c>
      <c r="F2978" s="6" t="s">
        <v>11</v>
      </c>
      <c r="G2978" s="8">
        <v>0</v>
      </c>
      <c r="H2978" s="9">
        <v>1</v>
      </c>
    </row>
    <row r="2979" spans="1:8">
      <c r="A2979" s="5">
        <v>3275</v>
      </c>
      <c r="B2979" s="6" t="str">
        <f>"王时"</f>
        <v>王时</v>
      </c>
      <c r="C2979" s="6" t="str">
        <f>"男"</f>
        <v>男</v>
      </c>
      <c r="D2979" s="6" t="str">
        <f>"202129031906"</f>
        <v>202129031906</v>
      </c>
      <c r="E2979" s="10" t="s">
        <v>27</v>
      </c>
      <c r="F2979" s="6" t="s">
        <v>11</v>
      </c>
      <c r="G2979" s="8">
        <v>82.85</v>
      </c>
      <c r="H2979" s="6"/>
    </row>
    <row r="2980" spans="1:8">
      <c r="A2980" s="5">
        <v>3150</v>
      </c>
      <c r="B2980" s="6" t="str">
        <f>"刘英"</f>
        <v>刘英</v>
      </c>
      <c r="C2980" s="6" t="str">
        <f>"女"</f>
        <v>女</v>
      </c>
      <c r="D2980" s="6" t="str">
        <f>"202129031907"</f>
        <v>202129031907</v>
      </c>
      <c r="E2980" s="10" t="s">
        <v>27</v>
      </c>
      <c r="F2980" s="6" t="s">
        <v>11</v>
      </c>
      <c r="G2980" s="8">
        <v>83.1</v>
      </c>
      <c r="H2980" s="6"/>
    </row>
    <row r="2981" spans="1:8">
      <c r="A2981" s="5">
        <v>3195</v>
      </c>
      <c r="B2981" s="6" t="str">
        <f>"张思佳"</f>
        <v>张思佳</v>
      </c>
      <c r="C2981" s="6" t="str">
        <f>"女"</f>
        <v>女</v>
      </c>
      <c r="D2981" s="6" t="str">
        <f>"202129031908"</f>
        <v>202129031908</v>
      </c>
      <c r="E2981" s="10" t="s">
        <v>27</v>
      </c>
      <c r="F2981" s="6" t="s">
        <v>11</v>
      </c>
      <c r="G2981" s="8">
        <v>65.7</v>
      </c>
      <c r="H2981" s="6"/>
    </row>
    <row r="2982" spans="1:8">
      <c r="A2982" s="5">
        <v>2984</v>
      </c>
      <c r="B2982" s="6" t="str">
        <f>"袁涛"</f>
        <v>袁涛</v>
      </c>
      <c r="C2982" s="6" t="str">
        <f>"男"</f>
        <v>男</v>
      </c>
      <c r="D2982" s="6" t="str">
        <f>"202129031909"</f>
        <v>202129031909</v>
      </c>
      <c r="E2982" s="10" t="s">
        <v>27</v>
      </c>
      <c r="F2982" s="6" t="s">
        <v>11</v>
      </c>
      <c r="G2982" s="8">
        <v>83.1</v>
      </c>
      <c r="H2982" s="6"/>
    </row>
    <row r="2983" spans="1:8">
      <c r="A2983" s="5">
        <v>2829</v>
      </c>
      <c r="B2983" s="6" t="str">
        <f>"刘海"</f>
        <v>刘海</v>
      </c>
      <c r="C2983" s="6" t="str">
        <f>"男"</f>
        <v>男</v>
      </c>
      <c r="D2983" s="6" t="str">
        <f>"202129031910"</f>
        <v>202129031910</v>
      </c>
      <c r="E2983" s="10" t="s">
        <v>27</v>
      </c>
      <c r="F2983" s="6" t="s">
        <v>11</v>
      </c>
      <c r="G2983" s="8">
        <v>91.5</v>
      </c>
      <c r="H2983" s="6"/>
    </row>
    <row r="2984" spans="1:8">
      <c r="A2984" s="5">
        <v>3191</v>
      </c>
      <c r="B2984" s="6" t="str">
        <f>"艾贵"</f>
        <v>艾贵</v>
      </c>
      <c r="C2984" s="6" t="str">
        <f>"女"</f>
        <v>女</v>
      </c>
      <c r="D2984" s="6" t="str">
        <f>"202129031911"</f>
        <v>202129031911</v>
      </c>
      <c r="E2984" s="10" t="s">
        <v>27</v>
      </c>
      <c r="F2984" s="6" t="s">
        <v>11</v>
      </c>
      <c r="G2984" s="8">
        <v>84.6</v>
      </c>
      <c r="H2984" s="6"/>
    </row>
    <row r="2985" spans="1:8">
      <c r="A2985" s="5">
        <v>2962</v>
      </c>
      <c r="B2985" s="6" t="str">
        <f>"黎彬"</f>
        <v>黎彬</v>
      </c>
      <c r="C2985" s="6" t="str">
        <f>"女"</f>
        <v>女</v>
      </c>
      <c r="D2985" s="6" t="str">
        <f>"202129031912"</f>
        <v>202129031912</v>
      </c>
      <c r="E2985" s="10" t="s">
        <v>27</v>
      </c>
      <c r="F2985" s="6" t="s">
        <v>11</v>
      </c>
      <c r="G2985" s="8">
        <v>79.400000000000006</v>
      </c>
      <c r="H2985" s="6"/>
    </row>
    <row r="2986" spans="1:8">
      <c r="A2986" s="5">
        <v>2755</v>
      </c>
      <c r="B2986" s="6" t="str">
        <f>"李艳华"</f>
        <v>李艳华</v>
      </c>
      <c r="C2986" s="6" t="str">
        <f>"女"</f>
        <v>女</v>
      </c>
      <c r="D2986" s="6" t="str">
        <f>"202129031913"</f>
        <v>202129031913</v>
      </c>
      <c r="E2986" s="10" t="s">
        <v>27</v>
      </c>
      <c r="F2986" s="6" t="s">
        <v>11</v>
      </c>
      <c r="G2986" s="8">
        <v>68.75</v>
      </c>
      <c r="H2986" s="6"/>
    </row>
    <row r="2987" spans="1:8">
      <c r="A2987" s="5">
        <v>2949</v>
      </c>
      <c r="B2987" s="6" t="str">
        <f>"罗婷"</f>
        <v>罗婷</v>
      </c>
      <c r="C2987" s="6" t="str">
        <f>"女"</f>
        <v>女</v>
      </c>
      <c r="D2987" s="6" t="str">
        <f>"202129031914"</f>
        <v>202129031914</v>
      </c>
      <c r="E2987" s="10" t="s">
        <v>27</v>
      </c>
      <c r="F2987" s="6" t="s">
        <v>11</v>
      </c>
      <c r="G2987" s="8">
        <v>80.400000000000006</v>
      </c>
      <c r="H2987" s="6"/>
    </row>
    <row r="2988" spans="1:8">
      <c r="A2988" s="5">
        <v>2768</v>
      </c>
      <c r="B2988" s="6" t="str">
        <f>"邓海珊"</f>
        <v>邓海珊</v>
      </c>
      <c r="C2988" s="6" t="str">
        <f>"女"</f>
        <v>女</v>
      </c>
      <c r="D2988" s="6" t="str">
        <f>"202129031915"</f>
        <v>202129031915</v>
      </c>
      <c r="E2988" s="10" t="s">
        <v>27</v>
      </c>
      <c r="F2988" s="6" t="s">
        <v>11</v>
      </c>
      <c r="G2988" s="8">
        <v>0</v>
      </c>
      <c r="H2988" s="9">
        <v>1</v>
      </c>
    </row>
    <row r="2989" spans="1:8">
      <c r="A2989" s="5">
        <v>3067</v>
      </c>
      <c r="B2989" s="6" t="str">
        <f>"彭兆兰"</f>
        <v>彭兆兰</v>
      </c>
      <c r="C2989" s="6" t="str">
        <f>"男"</f>
        <v>男</v>
      </c>
      <c r="D2989" s="6" t="str">
        <f>"202129031916"</f>
        <v>202129031916</v>
      </c>
      <c r="E2989" s="10" t="s">
        <v>27</v>
      </c>
      <c r="F2989" s="6" t="s">
        <v>11</v>
      </c>
      <c r="G2989" s="8">
        <v>75.150000000000006</v>
      </c>
      <c r="H2989" s="6"/>
    </row>
    <row r="2990" spans="1:8">
      <c r="A2990" s="5">
        <v>2787</v>
      </c>
      <c r="B2990" s="6" t="str">
        <f>"谢世芳"</f>
        <v>谢世芳</v>
      </c>
      <c r="C2990" s="6" t="str">
        <f>"女"</f>
        <v>女</v>
      </c>
      <c r="D2990" s="6" t="str">
        <f>"202129031917"</f>
        <v>202129031917</v>
      </c>
      <c r="E2990" s="10" t="s">
        <v>27</v>
      </c>
      <c r="F2990" s="6" t="s">
        <v>11</v>
      </c>
      <c r="G2990" s="8">
        <v>45.75</v>
      </c>
      <c r="H2990" s="6"/>
    </row>
    <row r="2991" spans="1:8">
      <c r="A2991" s="5">
        <v>3051</v>
      </c>
      <c r="B2991" s="6" t="str">
        <f>"罗蕙"</f>
        <v>罗蕙</v>
      </c>
      <c r="C2991" s="6" t="str">
        <f>"女"</f>
        <v>女</v>
      </c>
      <c r="D2991" s="6" t="str">
        <f>"202129031918"</f>
        <v>202129031918</v>
      </c>
      <c r="E2991" s="10" t="s">
        <v>27</v>
      </c>
      <c r="F2991" s="6" t="s">
        <v>11</v>
      </c>
      <c r="G2991" s="8">
        <v>0</v>
      </c>
      <c r="H2991" s="9">
        <v>1</v>
      </c>
    </row>
    <row r="2992" spans="1:8">
      <c r="A2992" s="5">
        <v>2921</v>
      </c>
      <c r="B2992" s="6" t="str">
        <f>"李莹"</f>
        <v>李莹</v>
      </c>
      <c r="C2992" s="6" t="str">
        <f>"女"</f>
        <v>女</v>
      </c>
      <c r="D2992" s="6" t="str">
        <f>"202129031919"</f>
        <v>202129031919</v>
      </c>
      <c r="E2992" s="10" t="s">
        <v>27</v>
      </c>
      <c r="F2992" s="6" t="s">
        <v>11</v>
      </c>
      <c r="G2992" s="8">
        <v>74.55</v>
      </c>
      <c r="H2992" s="6"/>
    </row>
    <row r="2993" spans="1:8">
      <c r="A2993" s="5">
        <v>3229</v>
      </c>
      <c r="B2993" s="6" t="str">
        <f>"杨秋云"</f>
        <v>杨秋云</v>
      </c>
      <c r="C2993" s="6" t="str">
        <f>"女"</f>
        <v>女</v>
      </c>
      <c r="D2993" s="6" t="str">
        <f>"202129031920"</f>
        <v>202129031920</v>
      </c>
      <c r="E2993" s="10" t="s">
        <v>27</v>
      </c>
      <c r="F2993" s="6" t="s">
        <v>11</v>
      </c>
      <c r="G2993" s="8">
        <v>57.8</v>
      </c>
      <c r="H2993" s="6"/>
    </row>
    <row r="2994" spans="1:8">
      <c r="A2994" s="5">
        <v>2956</v>
      </c>
      <c r="B2994" s="6" t="str">
        <f>"刘伟"</f>
        <v>刘伟</v>
      </c>
      <c r="C2994" s="6" t="str">
        <f>"男"</f>
        <v>男</v>
      </c>
      <c r="D2994" s="6" t="str">
        <f>"202129031921"</f>
        <v>202129031921</v>
      </c>
      <c r="E2994" s="10" t="s">
        <v>27</v>
      </c>
      <c r="F2994" s="6" t="s">
        <v>11</v>
      </c>
      <c r="G2994" s="8">
        <v>87.55</v>
      </c>
      <c r="H2994" s="6"/>
    </row>
    <row r="2995" spans="1:8">
      <c r="A2995" s="5">
        <v>3266</v>
      </c>
      <c r="B2995" s="6" t="str">
        <f>"唐妮霞"</f>
        <v>唐妮霞</v>
      </c>
      <c r="C2995" s="6" t="str">
        <f>"女"</f>
        <v>女</v>
      </c>
      <c r="D2995" s="6" t="str">
        <f>"202129031922"</f>
        <v>202129031922</v>
      </c>
      <c r="E2995" s="10" t="s">
        <v>27</v>
      </c>
      <c r="F2995" s="6" t="s">
        <v>11</v>
      </c>
      <c r="G2995" s="8">
        <v>73.099999999999994</v>
      </c>
      <c r="H2995" s="6"/>
    </row>
    <row r="2996" spans="1:8">
      <c r="A2996" s="5">
        <v>3223</v>
      </c>
      <c r="B2996" s="6" t="str">
        <f>"曹文军"</f>
        <v>曹文军</v>
      </c>
      <c r="C2996" s="6" t="str">
        <f>"男"</f>
        <v>男</v>
      </c>
      <c r="D2996" s="6" t="str">
        <f>"202129031923"</f>
        <v>202129031923</v>
      </c>
      <c r="E2996" s="10" t="s">
        <v>27</v>
      </c>
      <c r="F2996" s="6" t="s">
        <v>11</v>
      </c>
      <c r="G2996" s="8">
        <v>78.2</v>
      </c>
      <c r="H2996" s="6"/>
    </row>
    <row r="2997" spans="1:8">
      <c r="A2997" s="5">
        <v>3093</v>
      </c>
      <c r="B2997" s="6" t="str">
        <f>"朱晨"</f>
        <v>朱晨</v>
      </c>
      <c r="C2997" s="6" t="str">
        <f>"男"</f>
        <v>男</v>
      </c>
      <c r="D2997" s="6" t="str">
        <f>"202129031924"</f>
        <v>202129031924</v>
      </c>
      <c r="E2997" s="10" t="s">
        <v>27</v>
      </c>
      <c r="F2997" s="6" t="s">
        <v>11</v>
      </c>
      <c r="G2997" s="8">
        <v>85.1</v>
      </c>
      <c r="H2997" s="6"/>
    </row>
    <row r="2998" spans="1:8">
      <c r="A2998" s="5">
        <v>2791</v>
      </c>
      <c r="B2998" s="6" t="str">
        <f>"周灵群"</f>
        <v>周灵群</v>
      </c>
      <c r="C2998" s="6" t="str">
        <f t="shared" ref="C2998:C3004" si="134">"女"</f>
        <v>女</v>
      </c>
      <c r="D2998" s="6" t="str">
        <f>"202129031925"</f>
        <v>202129031925</v>
      </c>
      <c r="E2998" s="10" t="s">
        <v>27</v>
      </c>
      <c r="F2998" s="6" t="s">
        <v>11</v>
      </c>
      <c r="G2998" s="8">
        <v>87.8</v>
      </c>
      <c r="H2998" s="6"/>
    </row>
    <row r="2999" spans="1:8">
      <c r="A2999" s="5">
        <v>2924</v>
      </c>
      <c r="B2999" s="6" t="str">
        <f>"刘诗悦"</f>
        <v>刘诗悦</v>
      </c>
      <c r="C2999" s="6" t="str">
        <f t="shared" si="134"/>
        <v>女</v>
      </c>
      <c r="D2999" s="6" t="str">
        <f>"202129031926"</f>
        <v>202129031926</v>
      </c>
      <c r="E2999" s="10" t="s">
        <v>27</v>
      </c>
      <c r="F2999" s="6" t="s">
        <v>11</v>
      </c>
      <c r="G2999" s="8">
        <v>76.599999999999994</v>
      </c>
      <c r="H2999" s="6"/>
    </row>
    <row r="3000" spans="1:8">
      <c r="A3000" s="5">
        <v>2881</v>
      </c>
      <c r="B3000" s="6" t="str">
        <f>"戴钱英"</f>
        <v>戴钱英</v>
      </c>
      <c r="C3000" s="6" t="str">
        <f t="shared" si="134"/>
        <v>女</v>
      </c>
      <c r="D3000" s="6" t="str">
        <f>"202129031927"</f>
        <v>202129031927</v>
      </c>
      <c r="E3000" s="10" t="s">
        <v>27</v>
      </c>
      <c r="F3000" s="6" t="s">
        <v>11</v>
      </c>
      <c r="G3000" s="8">
        <v>0</v>
      </c>
      <c r="H3000" s="9">
        <v>1</v>
      </c>
    </row>
    <row r="3001" spans="1:8">
      <c r="A3001" s="5">
        <v>3263</v>
      </c>
      <c r="B3001" s="6" t="str">
        <f>"唐艺葳"</f>
        <v>唐艺葳</v>
      </c>
      <c r="C3001" s="6" t="str">
        <f t="shared" si="134"/>
        <v>女</v>
      </c>
      <c r="D3001" s="6" t="str">
        <f>"202129031928"</f>
        <v>202129031928</v>
      </c>
      <c r="E3001" s="10" t="s">
        <v>27</v>
      </c>
      <c r="F3001" s="6" t="s">
        <v>11</v>
      </c>
      <c r="G3001" s="8">
        <v>85.8</v>
      </c>
      <c r="H3001" s="6"/>
    </row>
    <row r="3002" spans="1:8">
      <c r="A3002" s="5">
        <v>2995</v>
      </c>
      <c r="B3002" s="6" t="str">
        <f>"伍翠"</f>
        <v>伍翠</v>
      </c>
      <c r="C3002" s="6" t="str">
        <f t="shared" si="134"/>
        <v>女</v>
      </c>
      <c r="D3002" s="6" t="str">
        <f>"202129031929"</f>
        <v>202129031929</v>
      </c>
      <c r="E3002" s="10" t="s">
        <v>27</v>
      </c>
      <c r="F3002" s="6" t="s">
        <v>11</v>
      </c>
      <c r="G3002" s="8">
        <v>81.099999999999994</v>
      </c>
      <c r="H3002" s="6"/>
    </row>
    <row r="3003" spans="1:8">
      <c r="A3003" s="5">
        <v>2918</v>
      </c>
      <c r="B3003" s="6" t="str">
        <f>"颜盛连"</f>
        <v>颜盛连</v>
      </c>
      <c r="C3003" s="6" t="str">
        <f t="shared" si="134"/>
        <v>女</v>
      </c>
      <c r="D3003" s="6" t="str">
        <f>"202129031930"</f>
        <v>202129031930</v>
      </c>
      <c r="E3003" s="10" t="s">
        <v>27</v>
      </c>
      <c r="F3003" s="6" t="s">
        <v>11</v>
      </c>
      <c r="G3003" s="8">
        <v>0</v>
      </c>
      <c r="H3003" s="9">
        <v>1</v>
      </c>
    </row>
    <row r="3004" spans="1:8">
      <c r="A3004" s="5">
        <v>3171</v>
      </c>
      <c r="B3004" s="6" t="str">
        <f>"尹婧"</f>
        <v>尹婧</v>
      </c>
      <c r="C3004" s="6" t="str">
        <f t="shared" si="134"/>
        <v>女</v>
      </c>
      <c r="D3004" s="6" t="str">
        <f>"202129032001"</f>
        <v>202129032001</v>
      </c>
      <c r="E3004" s="10" t="s">
        <v>27</v>
      </c>
      <c r="F3004" s="6" t="s">
        <v>11</v>
      </c>
      <c r="G3004" s="8">
        <v>82.85</v>
      </c>
      <c r="H3004" s="6"/>
    </row>
    <row r="3005" spans="1:8">
      <c r="A3005" s="5">
        <v>3091</v>
      </c>
      <c r="B3005" s="6" t="str">
        <f>"叶如俊"</f>
        <v>叶如俊</v>
      </c>
      <c r="C3005" s="6" t="str">
        <f>"男"</f>
        <v>男</v>
      </c>
      <c r="D3005" s="6" t="str">
        <f>"202129032002"</f>
        <v>202129032002</v>
      </c>
      <c r="E3005" s="10" t="s">
        <v>27</v>
      </c>
      <c r="F3005" s="6" t="s">
        <v>11</v>
      </c>
      <c r="G3005" s="8">
        <v>89.5</v>
      </c>
      <c r="H3005" s="6"/>
    </row>
    <row r="3006" spans="1:8">
      <c r="A3006" s="5">
        <v>2996</v>
      </c>
      <c r="B3006" s="6" t="str">
        <f>"胡兰"</f>
        <v>胡兰</v>
      </c>
      <c r="C3006" s="6" t="str">
        <f t="shared" ref="C3006:C3016" si="135">"女"</f>
        <v>女</v>
      </c>
      <c r="D3006" s="6" t="str">
        <f>"202129032003"</f>
        <v>202129032003</v>
      </c>
      <c r="E3006" s="10" t="s">
        <v>27</v>
      </c>
      <c r="F3006" s="6" t="s">
        <v>11</v>
      </c>
      <c r="G3006" s="8">
        <v>76.599999999999994</v>
      </c>
      <c r="H3006" s="6"/>
    </row>
    <row r="3007" spans="1:8">
      <c r="A3007" s="5">
        <v>3040</v>
      </c>
      <c r="B3007" s="6" t="str">
        <f>"张紫莲"</f>
        <v>张紫莲</v>
      </c>
      <c r="C3007" s="6" t="str">
        <f t="shared" si="135"/>
        <v>女</v>
      </c>
      <c r="D3007" s="6" t="str">
        <f>"202129032004"</f>
        <v>202129032004</v>
      </c>
      <c r="E3007" s="10" t="s">
        <v>27</v>
      </c>
      <c r="F3007" s="6" t="s">
        <v>11</v>
      </c>
      <c r="G3007" s="8">
        <v>84.1</v>
      </c>
      <c r="H3007" s="6"/>
    </row>
    <row r="3008" spans="1:8">
      <c r="A3008" s="5">
        <v>2855</v>
      </c>
      <c r="B3008" s="6" t="str">
        <f>"朱雅灵"</f>
        <v>朱雅灵</v>
      </c>
      <c r="C3008" s="6" t="str">
        <f t="shared" si="135"/>
        <v>女</v>
      </c>
      <c r="D3008" s="6" t="str">
        <f>"202129032005"</f>
        <v>202129032005</v>
      </c>
      <c r="E3008" s="10" t="s">
        <v>27</v>
      </c>
      <c r="F3008" s="6" t="s">
        <v>11</v>
      </c>
      <c r="G3008" s="8">
        <v>44.55</v>
      </c>
      <c r="H3008" s="6"/>
    </row>
    <row r="3009" spans="1:8">
      <c r="A3009" s="5">
        <v>3218</v>
      </c>
      <c r="B3009" s="6" t="str">
        <f>"蒋森婷"</f>
        <v>蒋森婷</v>
      </c>
      <c r="C3009" s="6" t="str">
        <f t="shared" si="135"/>
        <v>女</v>
      </c>
      <c r="D3009" s="6" t="str">
        <f>"202129032006"</f>
        <v>202129032006</v>
      </c>
      <c r="E3009" s="10" t="s">
        <v>27</v>
      </c>
      <c r="F3009" s="6" t="s">
        <v>11</v>
      </c>
      <c r="G3009" s="8">
        <v>88.3</v>
      </c>
      <c r="H3009" s="6"/>
    </row>
    <row r="3010" spans="1:8">
      <c r="A3010" s="5">
        <v>2810</v>
      </c>
      <c r="B3010" s="6" t="str">
        <f>"蒋有红"</f>
        <v>蒋有红</v>
      </c>
      <c r="C3010" s="6" t="str">
        <f t="shared" si="135"/>
        <v>女</v>
      </c>
      <c r="D3010" s="6" t="str">
        <f>"202129032007"</f>
        <v>202129032007</v>
      </c>
      <c r="E3010" s="10" t="s">
        <v>27</v>
      </c>
      <c r="F3010" s="6" t="s">
        <v>11</v>
      </c>
      <c r="G3010" s="8">
        <v>74.45</v>
      </c>
      <c r="H3010" s="6"/>
    </row>
    <row r="3011" spans="1:8">
      <c r="A3011" s="5">
        <v>3014</v>
      </c>
      <c r="B3011" s="6" t="str">
        <f>"刘喜媛"</f>
        <v>刘喜媛</v>
      </c>
      <c r="C3011" s="6" t="str">
        <f t="shared" si="135"/>
        <v>女</v>
      </c>
      <c r="D3011" s="6" t="str">
        <f>"202129032008"</f>
        <v>202129032008</v>
      </c>
      <c r="E3011" s="10" t="s">
        <v>27</v>
      </c>
      <c r="F3011" s="6" t="s">
        <v>11</v>
      </c>
      <c r="G3011" s="8">
        <v>72.150000000000006</v>
      </c>
      <c r="H3011" s="6"/>
    </row>
    <row r="3012" spans="1:8">
      <c r="A3012" s="5">
        <v>2998</v>
      </c>
      <c r="B3012" s="6" t="str">
        <f>"蒋温丽"</f>
        <v>蒋温丽</v>
      </c>
      <c r="C3012" s="6" t="str">
        <f t="shared" si="135"/>
        <v>女</v>
      </c>
      <c r="D3012" s="6" t="str">
        <f>"202129032009"</f>
        <v>202129032009</v>
      </c>
      <c r="E3012" s="10" t="s">
        <v>27</v>
      </c>
      <c r="F3012" s="6" t="s">
        <v>11</v>
      </c>
      <c r="G3012" s="8">
        <v>88.8</v>
      </c>
      <c r="H3012" s="6"/>
    </row>
    <row r="3013" spans="1:8">
      <c r="A3013" s="5">
        <v>2816</v>
      </c>
      <c r="B3013" s="6" t="str">
        <f>"王春花"</f>
        <v>王春花</v>
      </c>
      <c r="C3013" s="6" t="str">
        <f t="shared" si="135"/>
        <v>女</v>
      </c>
      <c r="D3013" s="6" t="str">
        <f>"202129032010"</f>
        <v>202129032010</v>
      </c>
      <c r="E3013" s="10" t="s">
        <v>27</v>
      </c>
      <c r="F3013" s="6" t="s">
        <v>11</v>
      </c>
      <c r="G3013" s="8">
        <v>0</v>
      </c>
      <c r="H3013" s="9">
        <v>1</v>
      </c>
    </row>
    <row r="3014" spans="1:8">
      <c r="A3014" s="5">
        <v>2769</v>
      </c>
      <c r="B3014" s="6" t="str">
        <f>"罗亮梅"</f>
        <v>罗亮梅</v>
      </c>
      <c r="C3014" s="6" t="str">
        <f t="shared" si="135"/>
        <v>女</v>
      </c>
      <c r="D3014" s="6" t="str">
        <f>"202129032011"</f>
        <v>202129032011</v>
      </c>
      <c r="E3014" s="10" t="s">
        <v>27</v>
      </c>
      <c r="F3014" s="6" t="s">
        <v>11</v>
      </c>
      <c r="G3014" s="8">
        <v>92.3</v>
      </c>
      <c r="H3014" s="6"/>
    </row>
    <row r="3015" spans="1:8">
      <c r="A3015" s="5">
        <v>3095</v>
      </c>
      <c r="B3015" s="6" t="str">
        <f>"覃淑珍"</f>
        <v>覃淑珍</v>
      </c>
      <c r="C3015" s="6" t="str">
        <f t="shared" si="135"/>
        <v>女</v>
      </c>
      <c r="D3015" s="6" t="str">
        <f>"202129032012"</f>
        <v>202129032012</v>
      </c>
      <c r="E3015" s="10" t="s">
        <v>27</v>
      </c>
      <c r="F3015" s="6" t="s">
        <v>11</v>
      </c>
      <c r="G3015" s="8">
        <v>91.3</v>
      </c>
      <c r="H3015" s="6"/>
    </row>
    <row r="3016" spans="1:8">
      <c r="A3016" s="5">
        <v>2866</v>
      </c>
      <c r="B3016" s="6" t="str">
        <f>"易婷"</f>
        <v>易婷</v>
      </c>
      <c r="C3016" s="6" t="str">
        <f t="shared" si="135"/>
        <v>女</v>
      </c>
      <c r="D3016" s="6" t="str">
        <f>"202129032013"</f>
        <v>202129032013</v>
      </c>
      <c r="E3016" s="10" t="s">
        <v>27</v>
      </c>
      <c r="F3016" s="6" t="s">
        <v>11</v>
      </c>
      <c r="G3016" s="8">
        <v>83.6</v>
      </c>
      <c r="H3016" s="6"/>
    </row>
    <row r="3017" spans="1:8">
      <c r="A3017" s="5">
        <v>3030</v>
      </c>
      <c r="B3017" s="6" t="str">
        <f>"戴甲奎"</f>
        <v>戴甲奎</v>
      </c>
      <c r="C3017" s="6" t="str">
        <f>"男"</f>
        <v>男</v>
      </c>
      <c r="D3017" s="6" t="str">
        <f>"202129032014"</f>
        <v>202129032014</v>
      </c>
      <c r="E3017" s="10" t="s">
        <v>27</v>
      </c>
      <c r="F3017" s="6" t="s">
        <v>11</v>
      </c>
      <c r="G3017" s="8">
        <v>89.25</v>
      </c>
      <c r="H3017" s="6"/>
    </row>
    <row r="3018" spans="1:8">
      <c r="A3018" s="5">
        <v>3032</v>
      </c>
      <c r="B3018" s="6" t="str">
        <f>"黄秋月"</f>
        <v>黄秋月</v>
      </c>
      <c r="C3018" s="6" t="str">
        <f t="shared" ref="C3018:C3033" si="136">"女"</f>
        <v>女</v>
      </c>
      <c r="D3018" s="6" t="str">
        <f>"202129032015"</f>
        <v>202129032015</v>
      </c>
      <c r="E3018" s="10" t="s">
        <v>27</v>
      </c>
      <c r="F3018" s="6" t="s">
        <v>11</v>
      </c>
      <c r="G3018" s="8">
        <v>88.3</v>
      </c>
      <c r="H3018" s="6"/>
    </row>
    <row r="3019" spans="1:8">
      <c r="A3019" s="5">
        <v>3017</v>
      </c>
      <c r="B3019" s="6" t="str">
        <f>"艾美玲"</f>
        <v>艾美玲</v>
      </c>
      <c r="C3019" s="6" t="str">
        <f t="shared" si="136"/>
        <v>女</v>
      </c>
      <c r="D3019" s="6" t="str">
        <f>"202129032016"</f>
        <v>202129032016</v>
      </c>
      <c r="E3019" s="10" t="s">
        <v>27</v>
      </c>
      <c r="F3019" s="6" t="s">
        <v>11</v>
      </c>
      <c r="G3019" s="8">
        <v>87.65</v>
      </c>
      <c r="H3019" s="6"/>
    </row>
    <row r="3020" spans="1:8">
      <c r="A3020" s="5">
        <v>2801</v>
      </c>
      <c r="B3020" s="6" t="str">
        <f>"左时林"</f>
        <v>左时林</v>
      </c>
      <c r="C3020" s="6" t="str">
        <f t="shared" si="136"/>
        <v>女</v>
      </c>
      <c r="D3020" s="6" t="str">
        <f>"202129032017"</f>
        <v>202129032017</v>
      </c>
      <c r="E3020" s="10" t="s">
        <v>27</v>
      </c>
      <c r="F3020" s="6" t="s">
        <v>11</v>
      </c>
      <c r="G3020" s="8">
        <v>78.3</v>
      </c>
      <c r="H3020" s="6"/>
    </row>
    <row r="3021" spans="1:8">
      <c r="A3021" s="5">
        <v>3111</v>
      </c>
      <c r="B3021" s="6" t="str">
        <f>"何萍英"</f>
        <v>何萍英</v>
      </c>
      <c r="C3021" s="6" t="str">
        <f t="shared" si="136"/>
        <v>女</v>
      </c>
      <c r="D3021" s="6" t="str">
        <f>"202129032018"</f>
        <v>202129032018</v>
      </c>
      <c r="E3021" s="10" t="s">
        <v>27</v>
      </c>
      <c r="F3021" s="6" t="s">
        <v>11</v>
      </c>
      <c r="G3021" s="8">
        <v>60.85</v>
      </c>
      <c r="H3021" s="6"/>
    </row>
    <row r="3022" spans="1:8">
      <c r="A3022" s="5">
        <v>2860</v>
      </c>
      <c r="B3022" s="6" t="str">
        <f>"贺立丽"</f>
        <v>贺立丽</v>
      </c>
      <c r="C3022" s="6" t="str">
        <f t="shared" si="136"/>
        <v>女</v>
      </c>
      <c r="D3022" s="6" t="str">
        <f>"202129032019"</f>
        <v>202129032019</v>
      </c>
      <c r="E3022" s="10" t="s">
        <v>27</v>
      </c>
      <c r="F3022" s="6" t="s">
        <v>11</v>
      </c>
      <c r="G3022" s="8">
        <v>70.95</v>
      </c>
      <c r="H3022" s="6"/>
    </row>
    <row r="3023" spans="1:8">
      <c r="A3023" s="5">
        <v>3045</v>
      </c>
      <c r="B3023" s="6" t="str">
        <f>"曾佩兰"</f>
        <v>曾佩兰</v>
      </c>
      <c r="C3023" s="6" t="str">
        <f t="shared" si="136"/>
        <v>女</v>
      </c>
      <c r="D3023" s="6" t="str">
        <f>"202129032020"</f>
        <v>202129032020</v>
      </c>
      <c r="E3023" s="10" t="s">
        <v>27</v>
      </c>
      <c r="F3023" s="6" t="s">
        <v>11</v>
      </c>
      <c r="G3023" s="8">
        <v>77.45</v>
      </c>
      <c r="H3023" s="6"/>
    </row>
    <row r="3024" spans="1:8">
      <c r="A3024" s="5">
        <v>3125</v>
      </c>
      <c r="B3024" s="6" t="str">
        <f>"何如娟"</f>
        <v>何如娟</v>
      </c>
      <c r="C3024" s="6" t="str">
        <f t="shared" si="136"/>
        <v>女</v>
      </c>
      <c r="D3024" s="6" t="str">
        <f>"202129032021"</f>
        <v>202129032021</v>
      </c>
      <c r="E3024" s="10" t="s">
        <v>27</v>
      </c>
      <c r="F3024" s="6" t="s">
        <v>11</v>
      </c>
      <c r="G3024" s="8">
        <v>74.3</v>
      </c>
      <c r="H3024" s="6"/>
    </row>
    <row r="3025" spans="1:8">
      <c r="A3025" s="5">
        <v>2946</v>
      </c>
      <c r="B3025" s="6" t="str">
        <f>"李济中"</f>
        <v>李济中</v>
      </c>
      <c r="C3025" s="6" t="str">
        <f t="shared" si="136"/>
        <v>女</v>
      </c>
      <c r="D3025" s="6" t="str">
        <f>"202129032022"</f>
        <v>202129032022</v>
      </c>
      <c r="E3025" s="10" t="s">
        <v>27</v>
      </c>
      <c r="F3025" s="6" t="s">
        <v>11</v>
      </c>
      <c r="G3025" s="8">
        <v>83.4</v>
      </c>
      <c r="H3025" s="6"/>
    </row>
    <row r="3026" spans="1:8">
      <c r="A3026" s="5">
        <v>3069</v>
      </c>
      <c r="B3026" s="6" t="str">
        <f>"易天运"</f>
        <v>易天运</v>
      </c>
      <c r="C3026" s="6" t="str">
        <f t="shared" si="136"/>
        <v>女</v>
      </c>
      <c r="D3026" s="6" t="str">
        <f>"202129032023"</f>
        <v>202129032023</v>
      </c>
      <c r="E3026" s="10" t="s">
        <v>27</v>
      </c>
      <c r="F3026" s="6" t="s">
        <v>11</v>
      </c>
      <c r="G3026" s="8">
        <v>84.9</v>
      </c>
      <c r="H3026" s="6"/>
    </row>
    <row r="3027" spans="1:8">
      <c r="A3027" s="5">
        <v>3257</v>
      </c>
      <c r="B3027" s="6" t="str">
        <f>"袁丽"</f>
        <v>袁丽</v>
      </c>
      <c r="C3027" s="6" t="str">
        <f t="shared" si="136"/>
        <v>女</v>
      </c>
      <c r="D3027" s="6" t="str">
        <f>"202129032024"</f>
        <v>202129032024</v>
      </c>
      <c r="E3027" s="10" t="s">
        <v>27</v>
      </c>
      <c r="F3027" s="6" t="s">
        <v>11</v>
      </c>
      <c r="G3027" s="8">
        <v>91.5</v>
      </c>
      <c r="H3027" s="6"/>
    </row>
    <row r="3028" spans="1:8">
      <c r="A3028" s="5">
        <v>2955</v>
      </c>
      <c r="B3028" s="6" t="str">
        <f>"何二香"</f>
        <v>何二香</v>
      </c>
      <c r="C3028" s="6" t="str">
        <f t="shared" si="136"/>
        <v>女</v>
      </c>
      <c r="D3028" s="6" t="str">
        <f>"202129032025"</f>
        <v>202129032025</v>
      </c>
      <c r="E3028" s="10" t="s">
        <v>27</v>
      </c>
      <c r="F3028" s="6" t="s">
        <v>11</v>
      </c>
      <c r="G3028" s="8">
        <v>66</v>
      </c>
      <c r="H3028" s="6"/>
    </row>
    <row r="3029" spans="1:8">
      <c r="A3029" s="5">
        <v>3054</v>
      </c>
      <c r="B3029" s="6" t="str">
        <f>"肖敏洁"</f>
        <v>肖敏洁</v>
      </c>
      <c r="C3029" s="6" t="str">
        <f t="shared" si="136"/>
        <v>女</v>
      </c>
      <c r="D3029" s="6" t="str">
        <f>"202129032026"</f>
        <v>202129032026</v>
      </c>
      <c r="E3029" s="10" t="s">
        <v>27</v>
      </c>
      <c r="F3029" s="6" t="s">
        <v>11</v>
      </c>
      <c r="G3029" s="8">
        <v>87.05</v>
      </c>
      <c r="H3029" s="6"/>
    </row>
    <row r="3030" spans="1:8">
      <c r="A3030" s="5">
        <v>3020</v>
      </c>
      <c r="B3030" s="6" t="str">
        <f>"周丹"</f>
        <v>周丹</v>
      </c>
      <c r="C3030" s="6" t="str">
        <f t="shared" si="136"/>
        <v>女</v>
      </c>
      <c r="D3030" s="6" t="str">
        <f>"202129032027"</f>
        <v>202129032027</v>
      </c>
      <c r="E3030" s="10" t="s">
        <v>27</v>
      </c>
      <c r="F3030" s="6" t="s">
        <v>11</v>
      </c>
      <c r="G3030" s="8">
        <v>58.8</v>
      </c>
      <c r="H3030" s="6"/>
    </row>
    <row r="3031" spans="1:8">
      <c r="A3031" s="5">
        <v>2952</v>
      </c>
      <c r="B3031" s="6" t="str">
        <f>"唐宁东"</f>
        <v>唐宁东</v>
      </c>
      <c r="C3031" s="6" t="str">
        <f t="shared" si="136"/>
        <v>女</v>
      </c>
      <c r="D3031" s="6" t="str">
        <f>"202129032028"</f>
        <v>202129032028</v>
      </c>
      <c r="E3031" s="10" t="s">
        <v>27</v>
      </c>
      <c r="F3031" s="6" t="s">
        <v>11</v>
      </c>
      <c r="G3031" s="8">
        <v>91</v>
      </c>
      <c r="H3031" s="6"/>
    </row>
    <row r="3032" spans="1:8">
      <c r="A3032" s="5">
        <v>3062</v>
      </c>
      <c r="B3032" s="6" t="str">
        <f>"曾媛"</f>
        <v>曾媛</v>
      </c>
      <c r="C3032" s="6" t="str">
        <f t="shared" si="136"/>
        <v>女</v>
      </c>
      <c r="D3032" s="6" t="str">
        <f>"202129032029"</f>
        <v>202129032029</v>
      </c>
      <c r="E3032" s="10" t="s">
        <v>27</v>
      </c>
      <c r="F3032" s="6" t="s">
        <v>11</v>
      </c>
      <c r="G3032" s="8">
        <v>0</v>
      </c>
      <c r="H3032" s="9">
        <v>1</v>
      </c>
    </row>
    <row r="3033" spans="1:8">
      <c r="A3033" s="5">
        <v>3028</v>
      </c>
      <c r="B3033" s="6" t="str">
        <f>"张丽霞"</f>
        <v>张丽霞</v>
      </c>
      <c r="C3033" s="6" t="str">
        <f t="shared" si="136"/>
        <v>女</v>
      </c>
      <c r="D3033" s="6" t="str">
        <f>"202129032030"</f>
        <v>202129032030</v>
      </c>
      <c r="E3033" s="10" t="s">
        <v>27</v>
      </c>
      <c r="F3033" s="6" t="s">
        <v>11</v>
      </c>
      <c r="G3033" s="8">
        <v>79.400000000000006</v>
      </c>
      <c r="H3033" s="6"/>
    </row>
    <row r="3034" spans="1:8">
      <c r="A3034" s="5">
        <v>3168</v>
      </c>
      <c r="B3034" s="6" t="str">
        <f>"王建平"</f>
        <v>王建平</v>
      </c>
      <c r="C3034" s="6" t="str">
        <f>"男"</f>
        <v>男</v>
      </c>
      <c r="D3034" s="6" t="str">
        <f>"202129032101"</f>
        <v>202129032101</v>
      </c>
      <c r="E3034" s="10" t="s">
        <v>27</v>
      </c>
      <c r="F3034" s="6" t="s">
        <v>11</v>
      </c>
      <c r="G3034" s="8">
        <v>88.5</v>
      </c>
      <c r="H3034" s="6"/>
    </row>
    <row r="3035" spans="1:8">
      <c r="A3035" s="5">
        <v>3148</v>
      </c>
      <c r="B3035" s="6" t="str">
        <f>"马云请"</f>
        <v>马云请</v>
      </c>
      <c r="C3035" s="6" t="str">
        <f t="shared" ref="C3035:C3044" si="137">"女"</f>
        <v>女</v>
      </c>
      <c r="D3035" s="6" t="str">
        <f>"202129032102"</f>
        <v>202129032102</v>
      </c>
      <c r="E3035" s="10" t="s">
        <v>27</v>
      </c>
      <c r="F3035" s="6" t="s">
        <v>11</v>
      </c>
      <c r="G3035" s="8">
        <v>0</v>
      </c>
      <c r="H3035" s="9">
        <v>2</v>
      </c>
    </row>
    <row r="3036" spans="1:8">
      <c r="A3036" s="5">
        <v>3026</v>
      </c>
      <c r="B3036" s="6" t="str">
        <f>"杨雅琪"</f>
        <v>杨雅琪</v>
      </c>
      <c r="C3036" s="6" t="str">
        <f t="shared" si="137"/>
        <v>女</v>
      </c>
      <c r="D3036" s="6" t="str">
        <f>"202129032103"</f>
        <v>202129032103</v>
      </c>
      <c r="E3036" s="10" t="s">
        <v>27</v>
      </c>
      <c r="F3036" s="6" t="s">
        <v>11</v>
      </c>
      <c r="G3036" s="8">
        <v>81.349999999999994</v>
      </c>
      <c r="H3036" s="6"/>
    </row>
    <row r="3037" spans="1:8">
      <c r="A3037" s="5">
        <v>3073</v>
      </c>
      <c r="B3037" s="6" t="str">
        <f>"陈娟"</f>
        <v>陈娟</v>
      </c>
      <c r="C3037" s="6" t="str">
        <f t="shared" si="137"/>
        <v>女</v>
      </c>
      <c r="D3037" s="6" t="str">
        <f>"202129032104"</f>
        <v>202129032104</v>
      </c>
      <c r="E3037" s="10" t="s">
        <v>27</v>
      </c>
      <c r="F3037" s="6" t="s">
        <v>11</v>
      </c>
      <c r="G3037" s="8">
        <v>58.55</v>
      </c>
      <c r="H3037" s="6"/>
    </row>
    <row r="3038" spans="1:8">
      <c r="A3038" s="5">
        <v>3024</v>
      </c>
      <c r="B3038" s="6" t="str">
        <f>"周淑萍"</f>
        <v>周淑萍</v>
      </c>
      <c r="C3038" s="6" t="str">
        <f t="shared" si="137"/>
        <v>女</v>
      </c>
      <c r="D3038" s="6" t="str">
        <f>"202129032105"</f>
        <v>202129032105</v>
      </c>
      <c r="E3038" s="10" t="s">
        <v>27</v>
      </c>
      <c r="F3038" s="6" t="s">
        <v>11</v>
      </c>
      <c r="G3038" s="8">
        <v>76.400000000000006</v>
      </c>
      <c r="H3038" s="6"/>
    </row>
    <row r="3039" spans="1:8">
      <c r="A3039" s="5">
        <v>3181</v>
      </c>
      <c r="B3039" s="6" t="str">
        <f>"易延琴"</f>
        <v>易延琴</v>
      </c>
      <c r="C3039" s="6" t="str">
        <f t="shared" si="137"/>
        <v>女</v>
      </c>
      <c r="D3039" s="6" t="str">
        <f>"202129032106"</f>
        <v>202129032106</v>
      </c>
      <c r="E3039" s="10" t="s">
        <v>27</v>
      </c>
      <c r="F3039" s="6" t="s">
        <v>11</v>
      </c>
      <c r="G3039" s="8">
        <v>82.85</v>
      </c>
      <c r="H3039" s="6"/>
    </row>
    <row r="3040" spans="1:8">
      <c r="A3040" s="5">
        <v>3096</v>
      </c>
      <c r="B3040" s="6" t="str">
        <f>"唐秋兰"</f>
        <v>唐秋兰</v>
      </c>
      <c r="C3040" s="6" t="str">
        <f t="shared" si="137"/>
        <v>女</v>
      </c>
      <c r="D3040" s="6" t="str">
        <f>"202129032107"</f>
        <v>202129032107</v>
      </c>
      <c r="E3040" s="10" t="s">
        <v>27</v>
      </c>
      <c r="F3040" s="6" t="s">
        <v>11</v>
      </c>
      <c r="G3040" s="8">
        <v>83</v>
      </c>
      <c r="H3040" s="6"/>
    </row>
    <row r="3041" spans="1:8">
      <c r="A3041" s="5">
        <v>3019</v>
      </c>
      <c r="B3041" s="6" t="str">
        <f>"周颖"</f>
        <v>周颖</v>
      </c>
      <c r="C3041" s="6" t="str">
        <f t="shared" si="137"/>
        <v>女</v>
      </c>
      <c r="D3041" s="6" t="str">
        <f>"202129032108"</f>
        <v>202129032108</v>
      </c>
      <c r="E3041" s="10" t="s">
        <v>27</v>
      </c>
      <c r="F3041" s="6" t="s">
        <v>11</v>
      </c>
      <c r="G3041" s="8">
        <v>0</v>
      </c>
      <c r="H3041" s="9">
        <v>1</v>
      </c>
    </row>
    <row r="3042" spans="1:8">
      <c r="A3042" s="5">
        <v>3219</v>
      </c>
      <c r="B3042" s="6" t="str">
        <f>"吕千连"</f>
        <v>吕千连</v>
      </c>
      <c r="C3042" s="6" t="str">
        <f t="shared" si="137"/>
        <v>女</v>
      </c>
      <c r="D3042" s="6" t="str">
        <f>"202129032109"</f>
        <v>202129032109</v>
      </c>
      <c r="E3042" s="10" t="s">
        <v>27</v>
      </c>
      <c r="F3042" s="6" t="s">
        <v>11</v>
      </c>
      <c r="G3042" s="8">
        <v>62.5</v>
      </c>
      <c r="H3042" s="6"/>
    </row>
    <row r="3043" spans="1:8">
      <c r="A3043" s="5">
        <v>3187</v>
      </c>
      <c r="B3043" s="6" t="str">
        <f>"徐可欣"</f>
        <v>徐可欣</v>
      </c>
      <c r="C3043" s="6" t="str">
        <f t="shared" si="137"/>
        <v>女</v>
      </c>
      <c r="D3043" s="6" t="str">
        <f>"202129032110"</f>
        <v>202129032110</v>
      </c>
      <c r="E3043" s="10" t="s">
        <v>27</v>
      </c>
      <c r="F3043" s="6" t="s">
        <v>11</v>
      </c>
      <c r="G3043" s="8">
        <v>47.8</v>
      </c>
      <c r="H3043" s="6"/>
    </row>
    <row r="3044" spans="1:8">
      <c r="A3044" s="5">
        <v>2973</v>
      </c>
      <c r="B3044" s="6" t="str">
        <f>"刘卓"</f>
        <v>刘卓</v>
      </c>
      <c r="C3044" s="6" t="str">
        <f t="shared" si="137"/>
        <v>女</v>
      </c>
      <c r="D3044" s="6" t="str">
        <f>"202129032111"</f>
        <v>202129032111</v>
      </c>
      <c r="E3044" s="10" t="s">
        <v>27</v>
      </c>
      <c r="F3044" s="6" t="s">
        <v>11</v>
      </c>
      <c r="G3044" s="8">
        <v>93</v>
      </c>
      <c r="H3044" s="6"/>
    </row>
    <row r="3045" spans="1:8">
      <c r="A3045" s="5">
        <v>2942</v>
      </c>
      <c r="B3045" s="6" t="str">
        <f>"刘友松"</f>
        <v>刘友松</v>
      </c>
      <c r="C3045" s="6" t="str">
        <f>"男"</f>
        <v>男</v>
      </c>
      <c r="D3045" s="6" t="str">
        <f>"202129032112"</f>
        <v>202129032112</v>
      </c>
      <c r="E3045" s="10" t="s">
        <v>27</v>
      </c>
      <c r="F3045" s="6" t="s">
        <v>11</v>
      </c>
      <c r="G3045" s="8">
        <v>64.400000000000006</v>
      </c>
      <c r="H3045" s="6"/>
    </row>
    <row r="3046" spans="1:8">
      <c r="A3046" s="5">
        <v>3144</v>
      </c>
      <c r="B3046" s="6" t="str">
        <f>"尹琼"</f>
        <v>尹琼</v>
      </c>
      <c r="C3046" s="6" t="str">
        <f>"女"</f>
        <v>女</v>
      </c>
      <c r="D3046" s="6" t="str">
        <f>"202129032113"</f>
        <v>202129032113</v>
      </c>
      <c r="E3046" s="10" t="s">
        <v>27</v>
      </c>
      <c r="F3046" s="6" t="s">
        <v>11</v>
      </c>
      <c r="G3046" s="8">
        <v>0</v>
      </c>
      <c r="H3046" s="9">
        <v>1</v>
      </c>
    </row>
    <row r="3047" spans="1:8">
      <c r="A3047" s="5">
        <v>3203</v>
      </c>
      <c r="B3047" s="6" t="str">
        <f>"刘婵"</f>
        <v>刘婵</v>
      </c>
      <c r="C3047" s="6" t="str">
        <f>"女"</f>
        <v>女</v>
      </c>
      <c r="D3047" s="6" t="str">
        <f>"202129032114"</f>
        <v>202129032114</v>
      </c>
      <c r="E3047" s="10" t="s">
        <v>27</v>
      </c>
      <c r="F3047" s="6" t="s">
        <v>11</v>
      </c>
      <c r="G3047" s="8">
        <v>29.7</v>
      </c>
      <c r="H3047" s="6"/>
    </row>
    <row r="3048" spans="1:8">
      <c r="A3048" s="5">
        <v>2764</v>
      </c>
      <c r="B3048" s="6" t="str">
        <f>"邓全兵"</f>
        <v>邓全兵</v>
      </c>
      <c r="C3048" s="6" t="str">
        <f>"男"</f>
        <v>男</v>
      </c>
      <c r="D3048" s="6" t="str">
        <f>"202129032115"</f>
        <v>202129032115</v>
      </c>
      <c r="E3048" s="10" t="s">
        <v>27</v>
      </c>
      <c r="F3048" s="6" t="s">
        <v>11</v>
      </c>
      <c r="G3048" s="8">
        <v>0</v>
      </c>
      <c r="H3048" s="9">
        <v>1</v>
      </c>
    </row>
    <row r="3049" spans="1:8">
      <c r="A3049" s="5">
        <v>3101</v>
      </c>
      <c r="B3049" s="6" t="str">
        <f>" 姚玉珍"</f>
        <v>姚玉珍</v>
      </c>
      <c r="C3049" s="6" t="str">
        <f>"女"</f>
        <v>女</v>
      </c>
      <c r="D3049" s="6" t="str">
        <f>"202129032116"</f>
        <v>202129032116</v>
      </c>
      <c r="E3049" s="10" t="s">
        <v>27</v>
      </c>
      <c r="F3049" s="6" t="s">
        <v>11</v>
      </c>
      <c r="G3049" s="8">
        <v>58.5</v>
      </c>
      <c r="H3049" s="6"/>
    </row>
    <row r="3050" spans="1:8">
      <c r="A3050" s="5">
        <v>2817</v>
      </c>
      <c r="B3050" s="6" t="str">
        <f>"余莎"</f>
        <v>余莎</v>
      </c>
      <c r="C3050" s="6" t="str">
        <f>"女"</f>
        <v>女</v>
      </c>
      <c r="D3050" s="6" t="str">
        <f>"202129032117"</f>
        <v>202129032117</v>
      </c>
      <c r="E3050" s="10" t="s">
        <v>27</v>
      </c>
      <c r="F3050" s="6" t="s">
        <v>11</v>
      </c>
      <c r="G3050" s="8">
        <v>75.650000000000006</v>
      </c>
      <c r="H3050" s="6"/>
    </row>
    <row r="3051" spans="1:8">
      <c r="A3051" s="5">
        <v>2814</v>
      </c>
      <c r="B3051" s="6" t="str">
        <f>"蒋勇波"</f>
        <v>蒋勇波</v>
      </c>
      <c r="C3051" s="6" t="str">
        <f>"男"</f>
        <v>男</v>
      </c>
      <c r="D3051" s="6" t="str">
        <f>"202129032118"</f>
        <v>202129032118</v>
      </c>
      <c r="E3051" s="10" t="s">
        <v>27</v>
      </c>
      <c r="F3051" s="6" t="s">
        <v>11</v>
      </c>
      <c r="G3051" s="8">
        <v>50.8</v>
      </c>
      <c r="H3051" s="6"/>
    </row>
    <row r="3052" spans="1:8">
      <c r="A3052" s="5">
        <v>3217</v>
      </c>
      <c r="B3052" s="6" t="str">
        <f>"李美秀玉"</f>
        <v>李美秀玉</v>
      </c>
      <c r="C3052" s="6" t="str">
        <f>"女"</f>
        <v>女</v>
      </c>
      <c r="D3052" s="6" t="str">
        <f>"202129032119"</f>
        <v>202129032119</v>
      </c>
      <c r="E3052" s="10" t="s">
        <v>27</v>
      </c>
      <c r="F3052" s="6" t="s">
        <v>11</v>
      </c>
      <c r="G3052" s="8">
        <v>89.3</v>
      </c>
      <c r="H3052" s="6"/>
    </row>
    <row r="3053" spans="1:8">
      <c r="A3053" s="5">
        <v>3087</v>
      </c>
      <c r="B3053" s="6" t="str">
        <f>"邓联武"</f>
        <v>邓联武</v>
      </c>
      <c r="C3053" s="6" t="str">
        <f>"男"</f>
        <v>男</v>
      </c>
      <c r="D3053" s="6" t="str">
        <f>"202129032120"</f>
        <v>202129032120</v>
      </c>
      <c r="E3053" s="10" t="s">
        <v>27</v>
      </c>
      <c r="F3053" s="6" t="s">
        <v>11</v>
      </c>
      <c r="G3053" s="8">
        <v>88.25</v>
      </c>
      <c r="H3053" s="6"/>
    </row>
    <row r="3054" spans="1:8">
      <c r="A3054" s="5">
        <v>2825</v>
      </c>
      <c r="B3054" s="6" t="str">
        <f>"向阳"</f>
        <v>向阳</v>
      </c>
      <c r="C3054" s="6" t="str">
        <f>"女"</f>
        <v>女</v>
      </c>
      <c r="D3054" s="6" t="str">
        <f>"202129032121"</f>
        <v>202129032121</v>
      </c>
      <c r="E3054" s="10" t="s">
        <v>27</v>
      </c>
      <c r="F3054" s="6" t="s">
        <v>11</v>
      </c>
      <c r="G3054" s="8">
        <v>74.75</v>
      </c>
      <c r="H3054" s="6"/>
    </row>
    <row r="3055" spans="1:8">
      <c r="A3055" s="5">
        <v>2811</v>
      </c>
      <c r="B3055" s="6" t="str">
        <f>"何金贞"</f>
        <v>何金贞</v>
      </c>
      <c r="C3055" s="6" t="str">
        <f>"女"</f>
        <v>女</v>
      </c>
      <c r="D3055" s="6" t="str">
        <f>"202129032122"</f>
        <v>202129032122</v>
      </c>
      <c r="E3055" s="10" t="s">
        <v>27</v>
      </c>
      <c r="F3055" s="6" t="s">
        <v>11</v>
      </c>
      <c r="G3055" s="8">
        <v>55.6</v>
      </c>
      <c r="H3055" s="6"/>
    </row>
    <row r="3056" spans="1:8">
      <c r="A3056" s="5">
        <v>2904</v>
      </c>
      <c r="B3056" s="6" t="str">
        <f>"李勇"</f>
        <v>李勇</v>
      </c>
      <c r="C3056" s="6" t="str">
        <f>"男"</f>
        <v>男</v>
      </c>
      <c r="D3056" s="6" t="str">
        <f>"202129032123"</f>
        <v>202129032123</v>
      </c>
      <c r="E3056" s="10" t="s">
        <v>27</v>
      </c>
      <c r="F3056" s="6" t="s">
        <v>11</v>
      </c>
      <c r="G3056" s="8">
        <v>0</v>
      </c>
      <c r="H3056" s="9">
        <v>1</v>
      </c>
    </row>
    <row r="3057" spans="1:8">
      <c r="A3057" s="5">
        <v>2975</v>
      </c>
      <c r="B3057" s="6" t="str">
        <f>"莫青枚"</f>
        <v>莫青枚</v>
      </c>
      <c r="C3057" s="6" t="str">
        <f t="shared" ref="C3057:C3062" si="138">"女"</f>
        <v>女</v>
      </c>
      <c r="D3057" s="6" t="str">
        <f>"202129032124"</f>
        <v>202129032124</v>
      </c>
      <c r="E3057" s="10" t="s">
        <v>27</v>
      </c>
      <c r="F3057" s="6" t="s">
        <v>11</v>
      </c>
      <c r="G3057" s="8">
        <v>67.25</v>
      </c>
      <c r="H3057" s="6"/>
    </row>
    <row r="3058" spans="1:8">
      <c r="A3058" s="5">
        <v>2766</v>
      </c>
      <c r="B3058" s="6" t="str">
        <f>"滕彬艳"</f>
        <v>滕彬艳</v>
      </c>
      <c r="C3058" s="6" t="str">
        <f t="shared" si="138"/>
        <v>女</v>
      </c>
      <c r="D3058" s="6" t="str">
        <f>"202129032125"</f>
        <v>202129032125</v>
      </c>
      <c r="E3058" s="10" t="s">
        <v>27</v>
      </c>
      <c r="F3058" s="6" t="s">
        <v>11</v>
      </c>
      <c r="G3058" s="8">
        <v>59.1</v>
      </c>
      <c r="H3058" s="6"/>
    </row>
    <row r="3059" spans="1:8">
      <c r="A3059" s="5">
        <v>3226</v>
      </c>
      <c r="B3059" s="6" t="str">
        <f>"伍莉"</f>
        <v>伍莉</v>
      </c>
      <c r="C3059" s="6" t="str">
        <f t="shared" si="138"/>
        <v>女</v>
      </c>
      <c r="D3059" s="6" t="str">
        <f>"202129032126"</f>
        <v>202129032126</v>
      </c>
      <c r="E3059" s="10" t="s">
        <v>27</v>
      </c>
      <c r="F3059" s="6" t="s">
        <v>11</v>
      </c>
      <c r="G3059" s="8">
        <v>77.05</v>
      </c>
      <c r="H3059" s="6"/>
    </row>
    <row r="3060" spans="1:8">
      <c r="A3060" s="5">
        <v>2832</v>
      </c>
      <c r="B3060" s="6" t="str">
        <f>"钱晓兵"</f>
        <v>钱晓兵</v>
      </c>
      <c r="C3060" s="6" t="str">
        <f t="shared" si="138"/>
        <v>女</v>
      </c>
      <c r="D3060" s="6" t="str">
        <f>"202129032127"</f>
        <v>202129032127</v>
      </c>
      <c r="E3060" s="10" t="s">
        <v>27</v>
      </c>
      <c r="F3060" s="6" t="s">
        <v>11</v>
      </c>
      <c r="G3060" s="8">
        <v>72.3</v>
      </c>
      <c r="H3060" s="6"/>
    </row>
    <row r="3061" spans="1:8">
      <c r="A3061" s="5">
        <v>3124</v>
      </c>
      <c r="B3061" s="6" t="str">
        <f>"徐榕"</f>
        <v>徐榕</v>
      </c>
      <c r="C3061" s="6" t="str">
        <f t="shared" si="138"/>
        <v>女</v>
      </c>
      <c r="D3061" s="6" t="str">
        <f>"202129032128"</f>
        <v>202129032128</v>
      </c>
      <c r="E3061" s="10" t="s">
        <v>27</v>
      </c>
      <c r="F3061" s="6" t="s">
        <v>11</v>
      </c>
      <c r="G3061" s="8">
        <v>68.099999999999994</v>
      </c>
      <c r="H3061" s="6"/>
    </row>
    <row r="3062" spans="1:8">
      <c r="A3062" s="5">
        <v>2778</v>
      </c>
      <c r="B3062" s="6" t="str">
        <f>"李姣艳"</f>
        <v>李姣艳</v>
      </c>
      <c r="C3062" s="6" t="str">
        <f t="shared" si="138"/>
        <v>女</v>
      </c>
      <c r="D3062" s="6" t="str">
        <f>"202129032129"</f>
        <v>202129032129</v>
      </c>
      <c r="E3062" s="10" t="s">
        <v>27</v>
      </c>
      <c r="F3062" s="6" t="s">
        <v>11</v>
      </c>
      <c r="G3062" s="8">
        <v>76.150000000000006</v>
      </c>
      <c r="H3062" s="6"/>
    </row>
    <row r="3063" spans="1:8">
      <c r="A3063" s="5">
        <v>3072</v>
      </c>
      <c r="B3063" s="6" t="str">
        <f>"曹宇杰"</f>
        <v>曹宇杰</v>
      </c>
      <c r="C3063" s="6" t="str">
        <f>"男"</f>
        <v>男</v>
      </c>
      <c r="D3063" s="6" t="str">
        <f>"202129032130"</f>
        <v>202129032130</v>
      </c>
      <c r="E3063" s="10" t="s">
        <v>27</v>
      </c>
      <c r="F3063" s="6" t="s">
        <v>11</v>
      </c>
      <c r="G3063" s="8">
        <v>91.6</v>
      </c>
      <c r="H3063" s="6"/>
    </row>
    <row r="3064" spans="1:8">
      <c r="A3064" s="5">
        <v>2931</v>
      </c>
      <c r="B3064" s="6" t="str">
        <f>"姚文静"</f>
        <v>姚文静</v>
      </c>
      <c r="C3064" s="6" t="str">
        <f t="shared" ref="C3064:C3069" si="139">"女"</f>
        <v>女</v>
      </c>
      <c r="D3064" s="6" t="str">
        <f>"202129032201"</f>
        <v>202129032201</v>
      </c>
      <c r="E3064" s="10" t="s">
        <v>27</v>
      </c>
      <c r="F3064" s="6" t="s">
        <v>11</v>
      </c>
      <c r="G3064" s="8">
        <v>80.05</v>
      </c>
      <c r="H3064" s="6"/>
    </row>
    <row r="3065" spans="1:8">
      <c r="A3065" s="5">
        <v>2774</v>
      </c>
      <c r="B3065" s="6" t="str">
        <f>"王慧"</f>
        <v>王慧</v>
      </c>
      <c r="C3065" s="6" t="str">
        <f t="shared" si="139"/>
        <v>女</v>
      </c>
      <c r="D3065" s="6" t="str">
        <f>"202129032202"</f>
        <v>202129032202</v>
      </c>
      <c r="E3065" s="10" t="s">
        <v>27</v>
      </c>
      <c r="F3065" s="6" t="s">
        <v>11</v>
      </c>
      <c r="G3065" s="8">
        <v>84.4</v>
      </c>
      <c r="H3065" s="6"/>
    </row>
    <row r="3066" spans="1:8">
      <c r="A3066" s="5">
        <v>2890</v>
      </c>
      <c r="B3066" s="6" t="str">
        <f>"李清"</f>
        <v>李清</v>
      </c>
      <c r="C3066" s="6" t="str">
        <f t="shared" si="139"/>
        <v>女</v>
      </c>
      <c r="D3066" s="6" t="str">
        <f>"202129032203"</f>
        <v>202129032203</v>
      </c>
      <c r="E3066" s="10" t="s">
        <v>27</v>
      </c>
      <c r="F3066" s="6" t="s">
        <v>11</v>
      </c>
      <c r="G3066" s="8">
        <v>59.7</v>
      </c>
      <c r="H3066" s="6"/>
    </row>
    <row r="3067" spans="1:8">
      <c r="A3067" s="5">
        <v>3205</v>
      </c>
      <c r="B3067" s="6" t="str">
        <f>"周棉"</f>
        <v>周棉</v>
      </c>
      <c r="C3067" s="6" t="str">
        <f t="shared" si="139"/>
        <v>女</v>
      </c>
      <c r="D3067" s="6" t="str">
        <f>"202129032204"</f>
        <v>202129032204</v>
      </c>
      <c r="E3067" s="10" t="s">
        <v>27</v>
      </c>
      <c r="F3067" s="6" t="s">
        <v>11</v>
      </c>
      <c r="G3067" s="8">
        <v>66.05</v>
      </c>
      <c r="H3067" s="6"/>
    </row>
    <row r="3068" spans="1:8">
      <c r="A3068" s="5">
        <v>3117</v>
      </c>
      <c r="B3068" s="6" t="str">
        <f>"全文静"</f>
        <v>全文静</v>
      </c>
      <c r="C3068" s="6" t="str">
        <f t="shared" si="139"/>
        <v>女</v>
      </c>
      <c r="D3068" s="6" t="str">
        <f>"202129032205"</f>
        <v>202129032205</v>
      </c>
      <c r="E3068" s="10" t="s">
        <v>27</v>
      </c>
      <c r="F3068" s="6" t="s">
        <v>11</v>
      </c>
      <c r="G3068" s="8">
        <v>35.700000000000003</v>
      </c>
      <c r="H3068" s="6"/>
    </row>
    <row r="3069" spans="1:8">
      <c r="A3069" s="5">
        <v>2993</v>
      </c>
      <c r="B3069" s="6" t="str">
        <f>"张景婷"</f>
        <v>张景婷</v>
      </c>
      <c r="C3069" s="6" t="str">
        <f t="shared" si="139"/>
        <v>女</v>
      </c>
      <c r="D3069" s="6" t="str">
        <f>"202129032206"</f>
        <v>202129032206</v>
      </c>
      <c r="E3069" s="10" t="s">
        <v>27</v>
      </c>
      <c r="F3069" s="6" t="s">
        <v>11</v>
      </c>
      <c r="G3069" s="8">
        <v>78.3</v>
      </c>
      <c r="H3069" s="6"/>
    </row>
    <row r="3070" spans="1:8">
      <c r="A3070" s="5">
        <v>2883</v>
      </c>
      <c r="B3070" s="6" t="str">
        <f>"朱增朋"</f>
        <v>朱增朋</v>
      </c>
      <c r="C3070" s="6" t="str">
        <f>"男"</f>
        <v>男</v>
      </c>
      <c r="D3070" s="6" t="str">
        <f>"202129032207"</f>
        <v>202129032207</v>
      </c>
      <c r="E3070" s="10" t="s">
        <v>27</v>
      </c>
      <c r="F3070" s="6" t="s">
        <v>11</v>
      </c>
      <c r="G3070" s="8">
        <v>81.849999999999994</v>
      </c>
      <c r="H3070" s="6"/>
    </row>
    <row r="3071" spans="1:8">
      <c r="A3071" s="5">
        <v>3201</v>
      </c>
      <c r="B3071" s="6" t="str">
        <f>"王祥炜"</f>
        <v>王祥炜</v>
      </c>
      <c r="C3071" s="6" t="str">
        <f>"男"</f>
        <v>男</v>
      </c>
      <c r="D3071" s="6" t="str">
        <f>"202129032208"</f>
        <v>202129032208</v>
      </c>
      <c r="E3071" s="10" t="s">
        <v>27</v>
      </c>
      <c r="F3071" s="6" t="s">
        <v>11</v>
      </c>
      <c r="G3071" s="8">
        <v>71.7</v>
      </c>
      <c r="H3071" s="6"/>
    </row>
    <row r="3072" spans="1:8">
      <c r="A3072" s="5">
        <v>3178</v>
      </c>
      <c r="B3072" s="6" t="str">
        <f>"侯冰琳"</f>
        <v>侯冰琳</v>
      </c>
      <c r="C3072" s="6" t="str">
        <f>"女"</f>
        <v>女</v>
      </c>
      <c r="D3072" s="6" t="str">
        <f>"202129032209"</f>
        <v>202129032209</v>
      </c>
      <c r="E3072" s="10" t="s">
        <v>27</v>
      </c>
      <c r="F3072" s="6" t="s">
        <v>11</v>
      </c>
      <c r="G3072" s="8">
        <v>86.8</v>
      </c>
      <c r="H3072" s="6"/>
    </row>
    <row r="3073" spans="1:8">
      <c r="A3073" s="5">
        <v>3027</v>
      </c>
      <c r="B3073" s="6" t="str">
        <f>"曾雪妮"</f>
        <v>曾雪妮</v>
      </c>
      <c r="C3073" s="6" t="str">
        <f>"女"</f>
        <v>女</v>
      </c>
      <c r="D3073" s="6" t="str">
        <f>"202129032210"</f>
        <v>202129032210</v>
      </c>
      <c r="E3073" s="10" t="s">
        <v>27</v>
      </c>
      <c r="F3073" s="6" t="s">
        <v>11</v>
      </c>
      <c r="G3073" s="8">
        <v>82.3</v>
      </c>
      <c r="H3073" s="6"/>
    </row>
    <row r="3074" spans="1:8">
      <c r="A3074" s="5">
        <v>2786</v>
      </c>
      <c r="B3074" s="6" t="str">
        <f>"唐英"</f>
        <v>唐英</v>
      </c>
      <c r="C3074" s="6" t="str">
        <f>"女"</f>
        <v>女</v>
      </c>
      <c r="D3074" s="6" t="str">
        <f>"202129032211"</f>
        <v>202129032211</v>
      </c>
      <c r="E3074" s="10" t="s">
        <v>27</v>
      </c>
      <c r="F3074" s="6" t="s">
        <v>11</v>
      </c>
      <c r="G3074" s="8">
        <v>80.650000000000006</v>
      </c>
      <c r="H3074" s="6"/>
    </row>
    <row r="3075" spans="1:8">
      <c r="A3075" s="5">
        <v>3188</v>
      </c>
      <c r="B3075" s="6" t="str">
        <f>"封江"</f>
        <v>封江</v>
      </c>
      <c r="C3075" s="6" t="str">
        <f>"男"</f>
        <v>男</v>
      </c>
      <c r="D3075" s="6" t="str">
        <f>"202129032212"</f>
        <v>202129032212</v>
      </c>
      <c r="E3075" s="10" t="s">
        <v>27</v>
      </c>
      <c r="F3075" s="6" t="s">
        <v>11</v>
      </c>
      <c r="G3075" s="8">
        <v>85.1</v>
      </c>
      <c r="H3075" s="6"/>
    </row>
    <row r="3076" spans="1:8">
      <c r="A3076" s="5">
        <v>2763</v>
      </c>
      <c r="B3076" s="6" t="str">
        <f>"邓卫华"</f>
        <v>邓卫华</v>
      </c>
      <c r="C3076" s="6" t="str">
        <f>"女"</f>
        <v>女</v>
      </c>
      <c r="D3076" s="6" t="str">
        <f>"202129032213"</f>
        <v>202129032213</v>
      </c>
      <c r="E3076" s="10" t="s">
        <v>27</v>
      </c>
      <c r="F3076" s="6" t="s">
        <v>11</v>
      </c>
      <c r="G3076" s="8">
        <v>46.5</v>
      </c>
      <c r="H3076" s="6"/>
    </row>
    <row r="3077" spans="1:8">
      <c r="A3077" s="5">
        <v>3065</v>
      </c>
      <c r="B3077" s="6" t="str">
        <f>"梁艳艳"</f>
        <v>梁艳艳</v>
      </c>
      <c r="C3077" s="6" t="str">
        <f>"女"</f>
        <v>女</v>
      </c>
      <c r="D3077" s="6" t="str">
        <f>"202129032214"</f>
        <v>202129032214</v>
      </c>
      <c r="E3077" s="10" t="s">
        <v>27</v>
      </c>
      <c r="F3077" s="6" t="s">
        <v>11</v>
      </c>
      <c r="G3077" s="8">
        <v>55.2</v>
      </c>
      <c r="H3077" s="6"/>
    </row>
    <row r="3078" spans="1:8">
      <c r="A3078" s="5">
        <v>2927</v>
      </c>
      <c r="B3078" s="6" t="str">
        <f>"何玉容"</f>
        <v>何玉容</v>
      </c>
      <c r="C3078" s="6" t="str">
        <f>"女"</f>
        <v>女</v>
      </c>
      <c r="D3078" s="6" t="str">
        <f>"202129032215"</f>
        <v>202129032215</v>
      </c>
      <c r="E3078" s="10" t="s">
        <v>27</v>
      </c>
      <c r="F3078" s="6" t="s">
        <v>11</v>
      </c>
      <c r="G3078" s="8">
        <v>90.75</v>
      </c>
      <c r="H3078" s="6"/>
    </row>
    <row r="3079" spans="1:8">
      <c r="A3079" s="5">
        <v>2781</v>
      </c>
      <c r="B3079" s="6" t="str">
        <f>"何泽娜"</f>
        <v>何泽娜</v>
      </c>
      <c r="C3079" s="6" t="str">
        <f>"女"</f>
        <v>女</v>
      </c>
      <c r="D3079" s="6" t="str">
        <f>"202129032216"</f>
        <v>202129032216</v>
      </c>
      <c r="E3079" s="10" t="s">
        <v>27</v>
      </c>
      <c r="F3079" s="6" t="s">
        <v>11</v>
      </c>
      <c r="G3079" s="8">
        <v>84.85</v>
      </c>
      <c r="H3079" s="6"/>
    </row>
    <row r="3080" spans="1:8">
      <c r="A3080" s="5">
        <v>2826</v>
      </c>
      <c r="B3080" s="6" t="str">
        <f>"周磊"</f>
        <v>周磊</v>
      </c>
      <c r="C3080" s="6" t="str">
        <f>"男"</f>
        <v>男</v>
      </c>
      <c r="D3080" s="6" t="str">
        <f>"202129032217"</f>
        <v>202129032217</v>
      </c>
      <c r="E3080" s="10" t="s">
        <v>27</v>
      </c>
      <c r="F3080" s="6" t="s">
        <v>11</v>
      </c>
      <c r="G3080" s="8">
        <v>63.4</v>
      </c>
      <c r="H3080" s="6"/>
    </row>
    <row r="3081" spans="1:8">
      <c r="A3081" s="5">
        <v>3145</v>
      </c>
      <c r="B3081" s="6" t="str">
        <f>"林思芬"</f>
        <v>林思芬</v>
      </c>
      <c r="C3081" s="6" t="str">
        <f>"女"</f>
        <v>女</v>
      </c>
      <c r="D3081" s="6" t="str">
        <f>"202129032218"</f>
        <v>202129032218</v>
      </c>
      <c r="E3081" s="10" t="s">
        <v>27</v>
      </c>
      <c r="F3081" s="6" t="s">
        <v>11</v>
      </c>
      <c r="G3081" s="8">
        <v>69.75</v>
      </c>
      <c r="H3081" s="6"/>
    </row>
    <row r="3082" spans="1:8">
      <c r="A3082" s="5">
        <v>3211</v>
      </c>
      <c r="B3082" s="6" t="str">
        <f>"张崚峰"</f>
        <v>张崚峰</v>
      </c>
      <c r="C3082" s="6" t="str">
        <f>"女"</f>
        <v>女</v>
      </c>
      <c r="D3082" s="6" t="str">
        <f>"202129032219"</f>
        <v>202129032219</v>
      </c>
      <c r="E3082" s="10" t="s">
        <v>27</v>
      </c>
      <c r="F3082" s="6" t="s">
        <v>11</v>
      </c>
      <c r="G3082" s="8">
        <v>71.8</v>
      </c>
      <c r="H3082" s="6"/>
    </row>
    <row r="3083" spans="1:8">
      <c r="A3083" s="5">
        <v>2974</v>
      </c>
      <c r="B3083" s="6" t="str">
        <f>"徐兰洁"</f>
        <v>徐兰洁</v>
      </c>
      <c r="C3083" s="6" t="str">
        <f>"女"</f>
        <v>女</v>
      </c>
      <c r="D3083" s="6" t="str">
        <f>"202129032220"</f>
        <v>202129032220</v>
      </c>
      <c r="E3083" s="10" t="s">
        <v>27</v>
      </c>
      <c r="F3083" s="6" t="s">
        <v>11</v>
      </c>
      <c r="G3083" s="8">
        <v>83.8</v>
      </c>
      <c r="H3083" s="6"/>
    </row>
    <row r="3084" spans="1:8">
      <c r="A3084" s="5">
        <v>3166</v>
      </c>
      <c r="B3084" s="6" t="str">
        <f>"胡慧"</f>
        <v>胡慧</v>
      </c>
      <c r="C3084" s="6" t="str">
        <f>"男"</f>
        <v>男</v>
      </c>
      <c r="D3084" s="6" t="str">
        <f>"202129032221"</f>
        <v>202129032221</v>
      </c>
      <c r="E3084" s="10" t="s">
        <v>27</v>
      </c>
      <c r="F3084" s="6" t="s">
        <v>11</v>
      </c>
      <c r="G3084" s="8">
        <v>55.8</v>
      </c>
      <c r="H3084" s="6"/>
    </row>
    <row r="3085" spans="1:8">
      <c r="A3085" s="5">
        <v>3114</v>
      </c>
      <c r="B3085" s="6" t="str">
        <f>"刘苏娴"</f>
        <v>刘苏娴</v>
      </c>
      <c r="C3085" s="6" t="str">
        <f>"女"</f>
        <v>女</v>
      </c>
      <c r="D3085" s="6" t="str">
        <f>"202129032222"</f>
        <v>202129032222</v>
      </c>
      <c r="E3085" s="10" t="s">
        <v>27</v>
      </c>
      <c r="F3085" s="6" t="s">
        <v>11</v>
      </c>
      <c r="G3085" s="8">
        <v>46.75</v>
      </c>
      <c r="H3085" s="6"/>
    </row>
    <row r="3086" spans="1:8">
      <c r="A3086" s="5">
        <v>3050</v>
      </c>
      <c r="B3086" s="6" t="str">
        <f>"唐玉林"</f>
        <v>唐玉林</v>
      </c>
      <c r="C3086" s="6" t="str">
        <f>"女"</f>
        <v>女</v>
      </c>
      <c r="D3086" s="6" t="str">
        <f>"202129032223"</f>
        <v>202129032223</v>
      </c>
      <c r="E3086" s="10" t="s">
        <v>27</v>
      </c>
      <c r="F3086" s="6" t="s">
        <v>11</v>
      </c>
      <c r="G3086" s="8">
        <v>84.15</v>
      </c>
      <c r="H3086" s="6"/>
    </row>
    <row r="3087" spans="1:8">
      <c r="A3087" s="5">
        <v>2950</v>
      </c>
      <c r="B3087" s="6" t="str">
        <f>"黎平华"</f>
        <v>黎平华</v>
      </c>
      <c r="C3087" s="6" t="str">
        <f>"女"</f>
        <v>女</v>
      </c>
      <c r="D3087" s="6" t="str">
        <f>"202129032224"</f>
        <v>202129032224</v>
      </c>
      <c r="E3087" s="10" t="s">
        <v>27</v>
      </c>
      <c r="F3087" s="6" t="s">
        <v>11</v>
      </c>
      <c r="G3087" s="8">
        <v>80.849999999999994</v>
      </c>
      <c r="H3087" s="6"/>
    </row>
    <row r="3088" spans="1:8">
      <c r="A3088" s="5">
        <v>2983</v>
      </c>
      <c r="B3088" s="6" t="str">
        <f>"胡嵩巍"</f>
        <v>胡嵩巍</v>
      </c>
      <c r="C3088" s="6" t="str">
        <f>"男"</f>
        <v>男</v>
      </c>
      <c r="D3088" s="6" t="str">
        <f>"202129032225"</f>
        <v>202129032225</v>
      </c>
      <c r="E3088" s="10" t="s">
        <v>27</v>
      </c>
      <c r="F3088" s="6" t="s">
        <v>11</v>
      </c>
      <c r="G3088" s="8">
        <v>94</v>
      </c>
      <c r="H3088" s="6"/>
    </row>
    <row r="3089" spans="1:8">
      <c r="A3089" s="5">
        <v>3199</v>
      </c>
      <c r="B3089" s="6" t="str">
        <f>"刘玲芝"</f>
        <v>刘玲芝</v>
      </c>
      <c r="C3089" s="6" t="str">
        <f>"女"</f>
        <v>女</v>
      </c>
      <c r="D3089" s="6" t="str">
        <f>"202129032226"</f>
        <v>202129032226</v>
      </c>
      <c r="E3089" s="10" t="s">
        <v>27</v>
      </c>
      <c r="F3089" s="6" t="s">
        <v>11</v>
      </c>
      <c r="G3089" s="8">
        <v>76.95</v>
      </c>
      <c r="H3089" s="6"/>
    </row>
    <row r="3090" spans="1:8">
      <c r="A3090" s="5">
        <v>2877</v>
      </c>
      <c r="B3090" s="6" t="str">
        <f>"黄丹"</f>
        <v>黄丹</v>
      </c>
      <c r="C3090" s="6" t="str">
        <f>"女"</f>
        <v>女</v>
      </c>
      <c r="D3090" s="6" t="str">
        <f>"202129032227"</f>
        <v>202129032227</v>
      </c>
      <c r="E3090" s="10" t="s">
        <v>27</v>
      </c>
      <c r="F3090" s="6" t="s">
        <v>11</v>
      </c>
      <c r="G3090" s="8">
        <v>60.75</v>
      </c>
      <c r="H3090" s="6"/>
    </row>
    <row r="3091" spans="1:8">
      <c r="A3091" s="5">
        <v>3147</v>
      </c>
      <c r="B3091" s="6" t="str">
        <f>"蒋能人"</f>
        <v>蒋能人</v>
      </c>
      <c r="C3091" s="6" t="str">
        <f>"男"</f>
        <v>男</v>
      </c>
      <c r="D3091" s="6" t="str">
        <f>"202129032228"</f>
        <v>202129032228</v>
      </c>
      <c r="E3091" s="10" t="s">
        <v>27</v>
      </c>
      <c r="F3091" s="6" t="s">
        <v>11</v>
      </c>
      <c r="G3091" s="8">
        <v>68.7</v>
      </c>
      <c r="H3091" s="6"/>
    </row>
    <row r="3092" spans="1:8">
      <c r="A3092" s="5">
        <v>3057</v>
      </c>
      <c r="B3092" s="6" t="str">
        <f>"姚晨晨"</f>
        <v>姚晨晨</v>
      </c>
      <c r="C3092" s="6" t="str">
        <f t="shared" ref="C3092:C3097" si="140">"女"</f>
        <v>女</v>
      </c>
      <c r="D3092" s="6" t="str">
        <f>"202129032229"</f>
        <v>202129032229</v>
      </c>
      <c r="E3092" s="10" t="s">
        <v>27</v>
      </c>
      <c r="F3092" s="6" t="s">
        <v>11</v>
      </c>
      <c r="G3092" s="8">
        <v>87.05</v>
      </c>
      <c r="H3092" s="6"/>
    </row>
    <row r="3093" spans="1:8">
      <c r="A3093" s="5">
        <v>3245</v>
      </c>
      <c r="B3093" s="6" t="str">
        <f>"曾菲菲"</f>
        <v>曾菲菲</v>
      </c>
      <c r="C3093" s="6" t="str">
        <f t="shared" si="140"/>
        <v>女</v>
      </c>
      <c r="D3093" s="6" t="str">
        <f>"202129032230"</f>
        <v>202129032230</v>
      </c>
      <c r="E3093" s="10" t="s">
        <v>27</v>
      </c>
      <c r="F3093" s="6" t="s">
        <v>11</v>
      </c>
      <c r="G3093" s="8">
        <v>74.55</v>
      </c>
      <c r="H3093" s="6"/>
    </row>
    <row r="3094" spans="1:8">
      <c r="A3094" s="5">
        <v>2853</v>
      </c>
      <c r="B3094" s="6" t="str">
        <f>"周红梅"</f>
        <v>周红梅</v>
      </c>
      <c r="C3094" s="6" t="str">
        <f t="shared" si="140"/>
        <v>女</v>
      </c>
      <c r="D3094" s="6" t="str">
        <f>"202129032301"</f>
        <v>202129032301</v>
      </c>
      <c r="E3094" s="10" t="s">
        <v>27</v>
      </c>
      <c r="F3094" s="6" t="s">
        <v>11</v>
      </c>
      <c r="G3094" s="8">
        <v>86.75</v>
      </c>
      <c r="H3094" s="6"/>
    </row>
    <row r="3095" spans="1:8">
      <c r="A3095" s="5">
        <v>2948</v>
      </c>
      <c r="B3095" s="6" t="str">
        <f>"杨玲"</f>
        <v>杨玲</v>
      </c>
      <c r="C3095" s="6" t="str">
        <f t="shared" si="140"/>
        <v>女</v>
      </c>
      <c r="D3095" s="6" t="str">
        <f>"202129032302"</f>
        <v>202129032302</v>
      </c>
      <c r="E3095" s="10" t="s">
        <v>27</v>
      </c>
      <c r="F3095" s="6" t="s">
        <v>11</v>
      </c>
      <c r="G3095" s="8">
        <v>59.8</v>
      </c>
      <c r="H3095" s="6"/>
    </row>
    <row r="3096" spans="1:8">
      <c r="A3096" s="5">
        <v>3248</v>
      </c>
      <c r="B3096" s="6" t="str">
        <f>"邓梦月"</f>
        <v>邓梦月</v>
      </c>
      <c r="C3096" s="6" t="str">
        <f t="shared" si="140"/>
        <v>女</v>
      </c>
      <c r="D3096" s="6" t="str">
        <f>"202129032303"</f>
        <v>202129032303</v>
      </c>
      <c r="E3096" s="10" t="s">
        <v>27</v>
      </c>
      <c r="F3096" s="6" t="s">
        <v>11</v>
      </c>
      <c r="G3096" s="8">
        <v>58</v>
      </c>
      <c r="H3096" s="6"/>
    </row>
    <row r="3097" spans="1:8">
      <c r="A3097" s="5">
        <v>3206</v>
      </c>
      <c r="B3097" s="6" t="str">
        <f>"杨穗成"</f>
        <v>杨穗成</v>
      </c>
      <c r="C3097" s="6" t="str">
        <f t="shared" si="140"/>
        <v>女</v>
      </c>
      <c r="D3097" s="6" t="str">
        <f>"202129032304"</f>
        <v>202129032304</v>
      </c>
      <c r="E3097" s="10" t="s">
        <v>27</v>
      </c>
      <c r="F3097" s="6" t="s">
        <v>11</v>
      </c>
      <c r="G3097" s="8">
        <v>71.150000000000006</v>
      </c>
      <c r="H3097" s="6"/>
    </row>
    <row r="3098" spans="1:8">
      <c r="A3098" s="5">
        <v>2795</v>
      </c>
      <c r="B3098" s="6" t="str">
        <f>"王意足"</f>
        <v>王意足</v>
      </c>
      <c r="C3098" s="6" t="str">
        <f>"男"</f>
        <v>男</v>
      </c>
      <c r="D3098" s="6" t="str">
        <f>"202129032305"</f>
        <v>202129032305</v>
      </c>
      <c r="E3098" s="10" t="s">
        <v>27</v>
      </c>
      <c r="F3098" s="6" t="s">
        <v>11</v>
      </c>
      <c r="G3098" s="8">
        <v>85.75</v>
      </c>
      <c r="H3098" s="6"/>
    </row>
    <row r="3099" spans="1:8">
      <c r="A3099" s="5">
        <v>3169</v>
      </c>
      <c r="B3099" s="6" t="str">
        <f>"彭秋凤"</f>
        <v>彭秋凤</v>
      </c>
      <c r="C3099" s="6" t="str">
        <f>"女"</f>
        <v>女</v>
      </c>
      <c r="D3099" s="6" t="str">
        <f>"202129032306"</f>
        <v>202129032306</v>
      </c>
      <c r="E3099" s="10" t="s">
        <v>27</v>
      </c>
      <c r="F3099" s="6" t="s">
        <v>11</v>
      </c>
      <c r="G3099" s="8">
        <v>90.25</v>
      </c>
      <c r="H3099" s="6"/>
    </row>
    <row r="3100" spans="1:8">
      <c r="A3100" s="5">
        <v>2953</v>
      </c>
      <c r="B3100" s="6" t="str">
        <f>"曾顺莲"</f>
        <v>曾顺莲</v>
      </c>
      <c r="C3100" s="6" t="str">
        <f>"女"</f>
        <v>女</v>
      </c>
      <c r="D3100" s="6" t="str">
        <f>"202129032307"</f>
        <v>202129032307</v>
      </c>
      <c r="E3100" s="10" t="s">
        <v>27</v>
      </c>
      <c r="F3100" s="6" t="s">
        <v>11</v>
      </c>
      <c r="G3100" s="8">
        <v>85.35</v>
      </c>
      <c r="H3100" s="6"/>
    </row>
    <row r="3101" spans="1:8">
      <c r="A3101" s="5">
        <v>3119</v>
      </c>
      <c r="B3101" s="6" t="str">
        <f>"刘成辉"</f>
        <v>刘成辉</v>
      </c>
      <c r="C3101" s="6" t="str">
        <f>"女"</f>
        <v>女</v>
      </c>
      <c r="D3101" s="6" t="str">
        <f>"202129032308"</f>
        <v>202129032308</v>
      </c>
      <c r="E3101" s="10" t="s">
        <v>27</v>
      </c>
      <c r="F3101" s="6" t="s">
        <v>11</v>
      </c>
      <c r="G3101" s="8">
        <v>84.35</v>
      </c>
      <c r="H3101" s="6"/>
    </row>
    <row r="3102" spans="1:8">
      <c r="A3102" s="5">
        <v>2858</v>
      </c>
      <c r="B3102" s="6" t="str">
        <f>"蒋全悟"</f>
        <v>蒋全悟</v>
      </c>
      <c r="C3102" s="6" t="str">
        <f>"男"</f>
        <v>男</v>
      </c>
      <c r="D3102" s="6" t="str">
        <f>"202129032309"</f>
        <v>202129032309</v>
      </c>
      <c r="E3102" s="10" t="s">
        <v>27</v>
      </c>
      <c r="F3102" s="6" t="s">
        <v>11</v>
      </c>
      <c r="G3102" s="8">
        <v>61</v>
      </c>
      <c r="H3102" s="6"/>
    </row>
    <row r="3103" spans="1:8">
      <c r="A3103" s="5">
        <v>3098</v>
      </c>
      <c r="B3103" s="6" t="str">
        <f>"何海云"</f>
        <v>何海云</v>
      </c>
      <c r="C3103" s="6" t="str">
        <f>"男"</f>
        <v>男</v>
      </c>
      <c r="D3103" s="6" t="str">
        <f>"202129032310"</f>
        <v>202129032310</v>
      </c>
      <c r="E3103" s="10" t="s">
        <v>27</v>
      </c>
      <c r="F3103" s="6" t="s">
        <v>11</v>
      </c>
      <c r="G3103" s="8">
        <v>87.05</v>
      </c>
      <c r="H3103" s="6"/>
    </row>
    <row r="3104" spans="1:8">
      <c r="A3104" s="5">
        <v>2926</v>
      </c>
      <c r="B3104" s="6" t="str">
        <f>"谢晋然"</f>
        <v>谢晋然</v>
      </c>
      <c r="C3104" s="6" t="str">
        <f>"男"</f>
        <v>男</v>
      </c>
      <c r="D3104" s="6" t="str">
        <f>"202129032311"</f>
        <v>202129032311</v>
      </c>
      <c r="E3104" s="10" t="s">
        <v>27</v>
      </c>
      <c r="F3104" s="6" t="s">
        <v>11</v>
      </c>
      <c r="G3104" s="8">
        <v>88.3</v>
      </c>
      <c r="H3104" s="6"/>
    </row>
    <row r="3105" spans="1:8">
      <c r="A3105" s="5">
        <v>2863</v>
      </c>
      <c r="B3105" s="6" t="str">
        <f>"陈宁波"</f>
        <v>陈宁波</v>
      </c>
      <c r="C3105" s="6" t="str">
        <f>"女"</f>
        <v>女</v>
      </c>
      <c r="D3105" s="6" t="str">
        <f>"202129032312"</f>
        <v>202129032312</v>
      </c>
      <c r="E3105" s="10" t="s">
        <v>27</v>
      </c>
      <c r="F3105" s="6" t="s">
        <v>11</v>
      </c>
      <c r="G3105" s="8">
        <v>66.75</v>
      </c>
      <c r="H3105" s="6"/>
    </row>
    <row r="3106" spans="1:8">
      <c r="A3106" s="5">
        <v>2851</v>
      </c>
      <c r="B3106" s="6" t="str">
        <f>"戴晴燕"</f>
        <v>戴晴燕</v>
      </c>
      <c r="C3106" s="6" t="str">
        <f>"女"</f>
        <v>女</v>
      </c>
      <c r="D3106" s="6" t="str">
        <f>"202129032313"</f>
        <v>202129032313</v>
      </c>
      <c r="E3106" s="10" t="s">
        <v>27</v>
      </c>
      <c r="F3106" s="6" t="s">
        <v>11</v>
      </c>
      <c r="G3106" s="8">
        <v>77.650000000000006</v>
      </c>
      <c r="H3106" s="6"/>
    </row>
    <row r="3107" spans="1:8">
      <c r="A3107" s="5">
        <v>2936</v>
      </c>
      <c r="B3107" s="6" t="str">
        <f>"彭钰贤"</f>
        <v>彭钰贤</v>
      </c>
      <c r="C3107" s="6" t="str">
        <f>"男"</f>
        <v>男</v>
      </c>
      <c r="D3107" s="6" t="str">
        <f>"202129032314"</f>
        <v>202129032314</v>
      </c>
      <c r="E3107" s="10" t="s">
        <v>27</v>
      </c>
      <c r="F3107" s="6" t="s">
        <v>11</v>
      </c>
      <c r="G3107" s="8">
        <v>71.900000000000006</v>
      </c>
      <c r="H3107" s="6"/>
    </row>
    <row r="3108" spans="1:8">
      <c r="A3108" s="5">
        <v>3003</v>
      </c>
      <c r="B3108" s="6" t="str">
        <f>"方慧"</f>
        <v>方慧</v>
      </c>
      <c r="C3108" s="6" t="str">
        <f t="shared" ref="C3108:C3115" si="141">"女"</f>
        <v>女</v>
      </c>
      <c r="D3108" s="6" t="str">
        <f>"202129032315"</f>
        <v>202129032315</v>
      </c>
      <c r="E3108" s="10" t="s">
        <v>27</v>
      </c>
      <c r="F3108" s="6" t="s">
        <v>11</v>
      </c>
      <c r="G3108" s="8">
        <v>0</v>
      </c>
      <c r="H3108" s="9">
        <v>1</v>
      </c>
    </row>
    <row r="3109" spans="1:8">
      <c r="A3109" s="5">
        <v>2785</v>
      </c>
      <c r="B3109" s="6" t="str">
        <f>"曹清"</f>
        <v>曹清</v>
      </c>
      <c r="C3109" s="6" t="str">
        <f t="shared" si="141"/>
        <v>女</v>
      </c>
      <c r="D3109" s="6" t="str">
        <f>"202129032316"</f>
        <v>202129032316</v>
      </c>
      <c r="E3109" s="10" t="s">
        <v>27</v>
      </c>
      <c r="F3109" s="6" t="s">
        <v>11</v>
      </c>
      <c r="G3109" s="8">
        <v>92.05</v>
      </c>
      <c r="H3109" s="6"/>
    </row>
    <row r="3110" spans="1:8">
      <c r="A3110" s="5">
        <v>3076</v>
      </c>
      <c r="B3110" s="6" t="str">
        <f>"夏资"</f>
        <v>夏资</v>
      </c>
      <c r="C3110" s="6" t="str">
        <f t="shared" si="141"/>
        <v>女</v>
      </c>
      <c r="D3110" s="6" t="str">
        <f>"202129032317"</f>
        <v>202129032317</v>
      </c>
      <c r="E3110" s="10" t="s">
        <v>27</v>
      </c>
      <c r="F3110" s="6" t="s">
        <v>11</v>
      </c>
      <c r="G3110" s="8">
        <v>79.95</v>
      </c>
      <c r="H3110" s="6"/>
    </row>
    <row r="3111" spans="1:8">
      <c r="A3111" s="5">
        <v>3038</v>
      </c>
      <c r="B3111" s="6" t="str">
        <f>"张琼"</f>
        <v>张琼</v>
      </c>
      <c r="C3111" s="6" t="str">
        <f t="shared" si="141"/>
        <v>女</v>
      </c>
      <c r="D3111" s="6" t="str">
        <f>"202129032318"</f>
        <v>202129032318</v>
      </c>
      <c r="E3111" s="10" t="s">
        <v>27</v>
      </c>
      <c r="F3111" s="6" t="s">
        <v>11</v>
      </c>
      <c r="G3111" s="8">
        <v>88.3</v>
      </c>
      <c r="H3111" s="6"/>
    </row>
    <row r="3112" spans="1:8">
      <c r="A3112" s="5">
        <v>2862</v>
      </c>
      <c r="B3112" s="6" t="str">
        <f>"邹娅"</f>
        <v>邹娅</v>
      </c>
      <c r="C3112" s="6" t="str">
        <f t="shared" si="141"/>
        <v>女</v>
      </c>
      <c r="D3112" s="6" t="str">
        <f>"202129032319"</f>
        <v>202129032319</v>
      </c>
      <c r="E3112" s="10" t="s">
        <v>27</v>
      </c>
      <c r="F3112" s="6" t="s">
        <v>11</v>
      </c>
      <c r="G3112" s="8">
        <v>60.85</v>
      </c>
      <c r="H3112" s="6"/>
    </row>
    <row r="3113" spans="1:8">
      <c r="A3113" s="5">
        <v>2799</v>
      </c>
      <c r="B3113" s="6" t="str">
        <f>"胡慧"</f>
        <v>胡慧</v>
      </c>
      <c r="C3113" s="6" t="str">
        <f t="shared" si="141"/>
        <v>女</v>
      </c>
      <c r="D3113" s="6" t="str">
        <f>"202129032320"</f>
        <v>202129032320</v>
      </c>
      <c r="E3113" s="10" t="s">
        <v>27</v>
      </c>
      <c r="F3113" s="6" t="s">
        <v>11</v>
      </c>
      <c r="G3113" s="8">
        <v>56.8</v>
      </c>
      <c r="H3113" s="6"/>
    </row>
    <row r="3114" spans="1:8">
      <c r="A3114" s="5">
        <v>3184</v>
      </c>
      <c r="B3114" s="6" t="str">
        <f>"李凤"</f>
        <v>李凤</v>
      </c>
      <c r="C3114" s="6" t="str">
        <f t="shared" si="141"/>
        <v>女</v>
      </c>
      <c r="D3114" s="6" t="str">
        <f>"202129032321"</f>
        <v>202129032321</v>
      </c>
      <c r="E3114" s="10" t="s">
        <v>27</v>
      </c>
      <c r="F3114" s="6" t="s">
        <v>11</v>
      </c>
      <c r="G3114" s="8">
        <v>82.9</v>
      </c>
      <c r="H3114" s="6"/>
    </row>
    <row r="3115" spans="1:8">
      <c r="A3115" s="5">
        <v>3250</v>
      </c>
      <c r="B3115" s="6" t="str">
        <f>"冒甘雨"</f>
        <v>冒甘雨</v>
      </c>
      <c r="C3115" s="6" t="str">
        <f t="shared" si="141"/>
        <v>女</v>
      </c>
      <c r="D3115" s="6" t="str">
        <f>"202129032322"</f>
        <v>202129032322</v>
      </c>
      <c r="E3115" s="10" t="s">
        <v>27</v>
      </c>
      <c r="F3115" s="6" t="s">
        <v>11</v>
      </c>
      <c r="G3115" s="8">
        <v>64.05</v>
      </c>
      <c r="H3115" s="6"/>
    </row>
    <row r="3116" spans="1:8">
      <c r="A3116" s="5">
        <v>3102</v>
      </c>
      <c r="B3116" s="6" t="str">
        <f>"陈春风"</f>
        <v>陈春风</v>
      </c>
      <c r="C3116" s="6" t="str">
        <f>"男"</f>
        <v>男</v>
      </c>
      <c r="D3116" s="6" t="str">
        <f>"202129032323"</f>
        <v>202129032323</v>
      </c>
      <c r="E3116" s="10" t="s">
        <v>27</v>
      </c>
      <c r="F3116" s="6" t="s">
        <v>11</v>
      </c>
      <c r="G3116" s="8">
        <v>76.599999999999994</v>
      </c>
      <c r="H3116" s="6"/>
    </row>
    <row r="3117" spans="1:8">
      <c r="A3117" s="5">
        <v>3004</v>
      </c>
      <c r="B3117" s="6" t="str">
        <f>"李缘德"</f>
        <v>李缘德</v>
      </c>
      <c r="C3117" s="6" t="str">
        <f>"男"</f>
        <v>男</v>
      </c>
      <c r="D3117" s="6" t="str">
        <f>"202129032324"</f>
        <v>202129032324</v>
      </c>
      <c r="E3117" s="10" t="s">
        <v>27</v>
      </c>
      <c r="F3117" s="6" t="s">
        <v>11</v>
      </c>
      <c r="G3117" s="8">
        <v>71.400000000000006</v>
      </c>
      <c r="H3117" s="6"/>
    </row>
    <row r="3118" spans="1:8">
      <c r="A3118" s="5">
        <v>3260</v>
      </c>
      <c r="B3118" s="6" t="str">
        <f>"张晨蕾"</f>
        <v>张晨蕾</v>
      </c>
      <c r="C3118" s="6" t="str">
        <f>"女"</f>
        <v>女</v>
      </c>
      <c r="D3118" s="6" t="str">
        <f>"202129032325"</f>
        <v>202129032325</v>
      </c>
      <c r="E3118" s="10" t="s">
        <v>27</v>
      </c>
      <c r="F3118" s="6" t="s">
        <v>11</v>
      </c>
      <c r="G3118" s="8">
        <v>91.25</v>
      </c>
      <c r="H3118" s="6"/>
    </row>
    <row r="3119" spans="1:8">
      <c r="A3119" s="5">
        <v>3242</v>
      </c>
      <c r="B3119" s="6" t="str">
        <f>"张程"</f>
        <v>张程</v>
      </c>
      <c r="C3119" s="6" t="str">
        <f>"男"</f>
        <v>男</v>
      </c>
      <c r="D3119" s="6" t="str">
        <f>"202129032326"</f>
        <v>202129032326</v>
      </c>
      <c r="E3119" s="10" t="s">
        <v>27</v>
      </c>
      <c r="F3119" s="6" t="s">
        <v>11</v>
      </c>
      <c r="G3119" s="8">
        <v>59.1</v>
      </c>
      <c r="H3119" s="6"/>
    </row>
    <row r="3120" spans="1:8">
      <c r="A3120" s="5">
        <v>2979</v>
      </c>
      <c r="B3120" s="6" t="str">
        <f>"谭邵飞"</f>
        <v>谭邵飞</v>
      </c>
      <c r="C3120" s="6" t="str">
        <f t="shared" ref="C3120:C3128" si="142">"女"</f>
        <v>女</v>
      </c>
      <c r="D3120" s="6" t="str">
        <f>"202129032327"</f>
        <v>202129032327</v>
      </c>
      <c r="E3120" s="10" t="s">
        <v>27</v>
      </c>
      <c r="F3120" s="6" t="s">
        <v>11</v>
      </c>
      <c r="G3120" s="8">
        <v>76.349999999999994</v>
      </c>
      <c r="H3120" s="6"/>
    </row>
    <row r="3121" spans="1:8">
      <c r="A3121" s="5">
        <v>2797</v>
      </c>
      <c r="B3121" s="6" t="str">
        <f>"郑若燕"</f>
        <v>郑若燕</v>
      </c>
      <c r="C3121" s="6" t="str">
        <f t="shared" si="142"/>
        <v>女</v>
      </c>
      <c r="D3121" s="6" t="str">
        <f>"202129032328"</f>
        <v>202129032328</v>
      </c>
      <c r="E3121" s="10" t="s">
        <v>27</v>
      </c>
      <c r="F3121" s="6" t="s">
        <v>11</v>
      </c>
      <c r="G3121" s="8">
        <v>84.3</v>
      </c>
      <c r="H3121" s="6"/>
    </row>
    <row r="3122" spans="1:8">
      <c r="A3122" s="5">
        <v>3001</v>
      </c>
      <c r="B3122" s="6" t="str">
        <f>"周婵娟"</f>
        <v>周婵娟</v>
      </c>
      <c r="C3122" s="6" t="str">
        <f t="shared" si="142"/>
        <v>女</v>
      </c>
      <c r="D3122" s="6" t="str">
        <f>"202129032329"</f>
        <v>202129032329</v>
      </c>
      <c r="E3122" s="10" t="s">
        <v>27</v>
      </c>
      <c r="F3122" s="6" t="s">
        <v>11</v>
      </c>
      <c r="G3122" s="8">
        <v>94.5</v>
      </c>
      <c r="H3122" s="6"/>
    </row>
    <row r="3123" spans="1:8">
      <c r="A3123" s="5">
        <v>2842</v>
      </c>
      <c r="B3123" s="6" t="str">
        <f>"陈龙英"</f>
        <v>陈龙英</v>
      </c>
      <c r="C3123" s="6" t="str">
        <f t="shared" si="142"/>
        <v>女</v>
      </c>
      <c r="D3123" s="6" t="str">
        <f>"202129032330"</f>
        <v>202129032330</v>
      </c>
      <c r="E3123" s="10" t="s">
        <v>27</v>
      </c>
      <c r="F3123" s="6" t="s">
        <v>11</v>
      </c>
      <c r="G3123" s="8">
        <v>53.2</v>
      </c>
      <c r="H3123" s="6"/>
    </row>
    <row r="3124" spans="1:8">
      <c r="A3124" s="5">
        <v>2775</v>
      </c>
      <c r="B3124" s="6" t="str">
        <f>"付圆圆"</f>
        <v>付圆圆</v>
      </c>
      <c r="C3124" s="6" t="str">
        <f t="shared" si="142"/>
        <v>女</v>
      </c>
      <c r="D3124" s="6" t="str">
        <f>"202129032401"</f>
        <v>202129032401</v>
      </c>
      <c r="E3124" s="10" t="s">
        <v>27</v>
      </c>
      <c r="F3124" s="6" t="s">
        <v>11</v>
      </c>
      <c r="G3124" s="8">
        <v>68</v>
      </c>
      <c r="H3124" s="6"/>
    </row>
    <row r="3125" spans="1:8">
      <c r="A3125" s="5">
        <v>3267</v>
      </c>
      <c r="B3125" s="6" t="str">
        <f>"邓彩娥"</f>
        <v>邓彩娥</v>
      </c>
      <c r="C3125" s="6" t="str">
        <f t="shared" si="142"/>
        <v>女</v>
      </c>
      <c r="D3125" s="6" t="str">
        <f>"202129032402"</f>
        <v>202129032402</v>
      </c>
      <c r="E3125" s="10" t="s">
        <v>27</v>
      </c>
      <c r="F3125" s="6" t="s">
        <v>11</v>
      </c>
      <c r="G3125" s="8">
        <v>44.1</v>
      </c>
      <c r="H3125" s="6"/>
    </row>
    <row r="3126" spans="1:8">
      <c r="A3126" s="5">
        <v>3272</v>
      </c>
      <c r="B3126" s="6" t="str">
        <f>"钟艳娟"</f>
        <v>钟艳娟</v>
      </c>
      <c r="C3126" s="6" t="str">
        <f t="shared" si="142"/>
        <v>女</v>
      </c>
      <c r="D3126" s="6" t="str">
        <f>"202129032403"</f>
        <v>202129032403</v>
      </c>
      <c r="E3126" s="10" t="s">
        <v>27</v>
      </c>
      <c r="F3126" s="6" t="s">
        <v>11</v>
      </c>
      <c r="G3126" s="8">
        <v>84.35</v>
      </c>
      <c r="H3126" s="6"/>
    </row>
    <row r="3127" spans="1:8">
      <c r="A3127" s="5">
        <v>3238</v>
      </c>
      <c r="B3127" s="6" t="str">
        <f>"张花"</f>
        <v>张花</v>
      </c>
      <c r="C3127" s="6" t="str">
        <f t="shared" si="142"/>
        <v>女</v>
      </c>
      <c r="D3127" s="6" t="str">
        <f>"202129032404"</f>
        <v>202129032404</v>
      </c>
      <c r="E3127" s="10" t="s">
        <v>27</v>
      </c>
      <c r="F3127" s="6" t="s">
        <v>11</v>
      </c>
      <c r="G3127" s="8">
        <v>78.8</v>
      </c>
      <c r="H3127" s="6"/>
    </row>
    <row r="3128" spans="1:8">
      <c r="A3128" s="5">
        <v>3170</v>
      </c>
      <c r="B3128" s="6" t="str">
        <f>"覃桂姣"</f>
        <v>覃桂姣</v>
      </c>
      <c r="C3128" s="6" t="str">
        <f t="shared" si="142"/>
        <v>女</v>
      </c>
      <c r="D3128" s="6" t="str">
        <f>"202129032405"</f>
        <v>202129032405</v>
      </c>
      <c r="E3128" s="10" t="s">
        <v>27</v>
      </c>
      <c r="F3128" s="6" t="s">
        <v>11</v>
      </c>
      <c r="G3128" s="8">
        <v>88.55</v>
      </c>
      <c r="H3128" s="6"/>
    </row>
    <row r="3129" spans="1:8">
      <c r="A3129" s="5">
        <v>2771</v>
      </c>
      <c r="B3129" s="6" t="str">
        <f>"雷伟"</f>
        <v>雷伟</v>
      </c>
      <c r="C3129" s="6" t="str">
        <f>"男"</f>
        <v>男</v>
      </c>
      <c r="D3129" s="6" t="str">
        <f>"202129032406"</f>
        <v>202129032406</v>
      </c>
      <c r="E3129" s="10" t="s">
        <v>27</v>
      </c>
      <c r="F3129" s="6" t="s">
        <v>11</v>
      </c>
      <c r="G3129" s="8">
        <v>88.5</v>
      </c>
      <c r="H3129" s="6"/>
    </row>
    <row r="3130" spans="1:8">
      <c r="A3130" s="5">
        <v>2912</v>
      </c>
      <c r="B3130" s="6" t="str">
        <f>" 李维"</f>
        <v>李维</v>
      </c>
      <c r="C3130" s="6" t="str">
        <f t="shared" ref="C3130:C3143" si="143">"女"</f>
        <v>女</v>
      </c>
      <c r="D3130" s="6" t="str">
        <f>"202129032407"</f>
        <v>202129032407</v>
      </c>
      <c r="E3130" s="10" t="s">
        <v>27</v>
      </c>
      <c r="F3130" s="6" t="s">
        <v>11</v>
      </c>
      <c r="G3130" s="8">
        <v>89.05</v>
      </c>
      <c r="H3130" s="6"/>
    </row>
    <row r="3131" spans="1:8">
      <c r="A3131" s="5">
        <v>2951</v>
      </c>
      <c r="B3131" s="6" t="str">
        <f>"尹昭阳"</f>
        <v>尹昭阳</v>
      </c>
      <c r="C3131" s="6" t="str">
        <f t="shared" si="143"/>
        <v>女</v>
      </c>
      <c r="D3131" s="6" t="str">
        <f>"202129032408"</f>
        <v>202129032408</v>
      </c>
      <c r="E3131" s="10" t="s">
        <v>27</v>
      </c>
      <c r="F3131" s="6" t="s">
        <v>11</v>
      </c>
      <c r="G3131" s="8">
        <v>88.5</v>
      </c>
      <c r="H3131" s="6"/>
    </row>
    <row r="3132" spans="1:8">
      <c r="A3132" s="5">
        <v>2813</v>
      </c>
      <c r="B3132" s="6" t="str">
        <f>"邓柳娟"</f>
        <v>邓柳娟</v>
      </c>
      <c r="C3132" s="6" t="str">
        <f t="shared" si="143"/>
        <v>女</v>
      </c>
      <c r="D3132" s="6" t="str">
        <f>"202129032409"</f>
        <v>202129032409</v>
      </c>
      <c r="E3132" s="10" t="s">
        <v>27</v>
      </c>
      <c r="F3132" s="6" t="s">
        <v>11</v>
      </c>
      <c r="G3132" s="8">
        <v>89</v>
      </c>
      <c r="H3132" s="6"/>
    </row>
    <row r="3133" spans="1:8">
      <c r="A3133" s="5">
        <v>2972</v>
      </c>
      <c r="B3133" s="6" t="str">
        <f>"许君"</f>
        <v>许君</v>
      </c>
      <c r="C3133" s="6" t="str">
        <f t="shared" si="143"/>
        <v>女</v>
      </c>
      <c r="D3133" s="6" t="str">
        <f>"202129032410"</f>
        <v>202129032410</v>
      </c>
      <c r="E3133" s="10" t="s">
        <v>27</v>
      </c>
      <c r="F3133" s="6" t="s">
        <v>11</v>
      </c>
      <c r="G3133" s="8">
        <v>76.099999999999994</v>
      </c>
      <c r="H3133" s="6"/>
    </row>
    <row r="3134" spans="1:8">
      <c r="A3134" s="5">
        <v>3235</v>
      </c>
      <c r="B3134" s="6" t="str">
        <f>"朱帅"</f>
        <v>朱帅</v>
      </c>
      <c r="C3134" s="6" t="str">
        <f t="shared" si="143"/>
        <v>女</v>
      </c>
      <c r="D3134" s="6" t="str">
        <f>"202129032411"</f>
        <v>202129032411</v>
      </c>
      <c r="E3134" s="10" t="s">
        <v>27</v>
      </c>
      <c r="F3134" s="6" t="s">
        <v>11</v>
      </c>
      <c r="G3134" s="8">
        <v>78.2</v>
      </c>
      <c r="H3134" s="6"/>
    </row>
    <row r="3135" spans="1:8">
      <c r="A3135" s="5">
        <v>3133</v>
      </c>
      <c r="B3135" s="6" t="str">
        <f>"戴小桃"</f>
        <v>戴小桃</v>
      </c>
      <c r="C3135" s="6" t="str">
        <f t="shared" si="143"/>
        <v>女</v>
      </c>
      <c r="D3135" s="6" t="str">
        <f>"202129032412"</f>
        <v>202129032412</v>
      </c>
      <c r="E3135" s="10" t="s">
        <v>27</v>
      </c>
      <c r="F3135" s="6" t="s">
        <v>11</v>
      </c>
      <c r="G3135" s="8">
        <v>54.35</v>
      </c>
      <c r="H3135" s="6"/>
    </row>
    <row r="3136" spans="1:8">
      <c r="A3136" s="5">
        <v>3039</v>
      </c>
      <c r="B3136" s="6" t="str">
        <f>"曾婷"</f>
        <v>曾婷</v>
      </c>
      <c r="C3136" s="6" t="str">
        <f t="shared" si="143"/>
        <v>女</v>
      </c>
      <c r="D3136" s="6" t="str">
        <f>"202129032413"</f>
        <v>202129032413</v>
      </c>
      <c r="E3136" s="10" t="s">
        <v>27</v>
      </c>
      <c r="F3136" s="6" t="s">
        <v>11</v>
      </c>
      <c r="G3136" s="8">
        <v>82.9</v>
      </c>
      <c r="H3136" s="6"/>
    </row>
    <row r="3137" spans="1:8">
      <c r="A3137" s="5">
        <v>3106</v>
      </c>
      <c r="B3137" s="6" t="str">
        <f>"李静"</f>
        <v>李静</v>
      </c>
      <c r="C3137" s="6" t="str">
        <f t="shared" si="143"/>
        <v>女</v>
      </c>
      <c r="D3137" s="6" t="str">
        <f>"202129032414"</f>
        <v>202129032414</v>
      </c>
      <c r="E3137" s="10" t="s">
        <v>27</v>
      </c>
      <c r="F3137" s="6" t="s">
        <v>11</v>
      </c>
      <c r="G3137" s="8">
        <v>87.75</v>
      </c>
      <c r="H3137" s="6"/>
    </row>
    <row r="3138" spans="1:8">
      <c r="A3138" s="5">
        <v>3156</v>
      </c>
      <c r="B3138" s="6" t="str">
        <f>"谭稳"</f>
        <v>谭稳</v>
      </c>
      <c r="C3138" s="6" t="str">
        <f t="shared" si="143"/>
        <v>女</v>
      </c>
      <c r="D3138" s="6" t="str">
        <f>"202129032415"</f>
        <v>202129032415</v>
      </c>
      <c r="E3138" s="10" t="s">
        <v>27</v>
      </c>
      <c r="F3138" s="6" t="s">
        <v>11</v>
      </c>
      <c r="G3138" s="8">
        <v>87.15</v>
      </c>
      <c r="H3138" s="6"/>
    </row>
    <row r="3139" spans="1:8">
      <c r="A3139" s="5">
        <v>3103</v>
      </c>
      <c r="B3139" s="6" t="str">
        <f>"唐莙茜"</f>
        <v>唐莙茜</v>
      </c>
      <c r="C3139" s="6" t="str">
        <f t="shared" si="143"/>
        <v>女</v>
      </c>
      <c r="D3139" s="6" t="str">
        <f>"202129032416"</f>
        <v>202129032416</v>
      </c>
      <c r="E3139" s="10" t="s">
        <v>27</v>
      </c>
      <c r="F3139" s="6" t="s">
        <v>11</v>
      </c>
      <c r="G3139" s="8">
        <v>76.900000000000006</v>
      </c>
      <c r="H3139" s="6"/>
    </row>
    <row r="3140" spans="1:8">
      <c r="A3140" s="5">
        <v>3161</v>
      </c>
      <c r="B3140" s="6" t="str">
        <f>"于林爱"</f>
        <v>于林爱</v>
      </c>
      <c r="C3140" s="6" t="str">
        <f t="shared" si="143"/>
        <v>女</v>
      </c>
      <c r="D3140" s="6" t="str">
        <f>"202129032417"</f>
        <v>202129032417</v>
      </c>
      <c r="E3140" s="10" t="s">
        <v>27</v>
      </c>
      <c r="F3140" s="6" t="s">
        <v>11</v>
      </c>
      <c r="G3140" s="8">
        <v>81.349999999999994</v>
      </c>
      <c r="H3140" s="6"/>
    </row>
    <row r="3141" spans="1:8">
      <c r="A3141" s="5">
        <v>2867</v>
      </c>
      <c r="B3141" s="6" t="str">
        <f>"彭娟花"</f>
        <v>彭娟花</v>
      </c>
      <c r="C3141" s="6" t="str">
        <f t="shared" si="143"/>
        <v>女</v>
      </c>
      <c r="D3141" s="6" t="str">
        <f>"202129032418"</f>
        <v>202129032418</v>
      </c>
      <c r="E3141" s="10" t="s">
        <v>27</v>
      </c>
      <c r="F3141" s="6" t="s">
        <v>11</v>
      </c>
      <c r="G3141" s="8">
        <v>69.05</v>
      </c>
      <c r="H3141" s="6"/>
    </row>
    <row r="3142" spans="1:8">
      <c r="A3142" s="5">
        <v>2987</v>
      </c>
      <c r="B3142" s="6" t="str">
        <f>"汤婷婷"</f>
        <v>汤婷婷</v>
      </c>
      <c r="C3142" s="6" t="str">
        <f t="shared" si="143"/>
        <v>女</v>
      </c>
      <c r="D3142" s="6" t="str">
        <f>"202129032419"</f>
        <v>202129032419</v>
      </c>
      <c r="E3142" s="10" t="s">
        <v>27</v>
      </c>
      <c r="F3142" s="6" t="s">
        <v>11</v>
      </c>
      <c r="G3142" s="8">
        <v>83.65</v>
      </c>
      <c r="H3142" s="6"/>
    </row>
    <row r="3143" spans="1:8">
      <c r="A3143" s="5">
        <v>3243</v>
      </c>
      <c r="B3143" s="6" t="str">
        <f>"卿欣"</f>
        <v>卿欣</v>
      </c>
      <c r="C3143" s="6" t="str">
        <f t="shared" si="143"/>
        <v>女</v>
      </c>
      <c r="D3143" s="6" t="str">
        <f>"202129032420"</f>
        <v>202129032420</v>
      </c>
      <c r="E3143" s="10" t="s">
        <v>27</v>
      </c>
      <c r="F3143" s="6" t="s">
        <v>11</v>
      </c>
      <c r="G3143" s="8">
        <v>72.75</v>
      </c>
      <c r="H3143" s="6"/>
    </row>
    <row r="3144" spans="1:8">
      <c r="A3144" s="5">
        <v>2896</v>
      </c>
      <c r="B3144" s="6" t="str">
        <f>"陈国京"</f>
        <v>陈国京</v>
      </c>
      <c r="C3144" s="6" t="str">
        <f>"男"</f>
        <v>男</v>
      </c>
      <c r="D3144" s="6" t="str">
        <f>"202129032421"</f>
        <v>202129032421</v>
      </c>
      <c r="E3144" s="10" t="s">
        <v>27</v>
      </c>
      <c r="F3144" s="6" t="s">
        <v>11</v>
      </c>
      <c r="G3144" s="8">
        <v>87.3</v>
      </c>
      <c r="H3144" s="6"/>
    </row>
    <row r="3145" spans="1:8">
      <c r="A3145" s="5">
        <v>2905</v>
      </c>
      <c r="B3145" s="6" t="str">
        <f>"彭倩兰"</f>
        <v>彭倩兰</v>
      </c>
      <c r="C3145" s="6" t="str">
        <f>"女"</f>
        <v>女</v>
      </c>
      <c r="D3145" s="6" t="str">
        <f>"202129032422"</f>
        <v>202129032422</v>
      </c>
      <c r="E3145" s="10" t="s">
        <v>27</v>
      </c>
      <c r="F3145" s="6" t="s">
        <v>11</v>
      </c>
      <c r="G3145" s="8">
        <v>52</v>
      </c>
      <c r="H3145" s="6"/>
    </row>
    <row r="3146" spans="1:8">
      <c r="A3146" s="5">
        <v>3100</v>
      </c>
      <c r="B3146" s="6" t="str">
        <f>"刘小波"</f>
        <v>刘小波</v>
      </c>
      <c r="C3146" s="6" t="str">
        <f>"男"</f>
        <v>男</v>
      </c>
      <c r="D3146" s="6" t="str">
        <f>"202129032423"</f>
        <v>202129032423</v>
      </c>
      <c r="E3146" s="10" t="s">
        <v>27</v>
      </c>
      <c r="F3146" s="6" t="s">
        <v>11</v>
      </c>
      <c r="G3146" s="8">
        <v>76.900000000000006</v>
      </c>
      <c r="H3146" s="6"/>
    </row>
    <row r="3147" spans="1:8">
      <c r="A3147" s="5">
        <v>3007</v>
      </c>
      <c r="B3147" s="6" t="str">
        <f>"蒋婷婷"</f>
        <v>蒋婷婷</v>
      </c>
      <c r="C3147" s="6" t="str">
        <f t="shared" ref="C3147:C3155" si="144">"女"</f>
        <v>女</v>
      </c>
      <c r="D3147" s="6" t="str">
        <f>"202129032424"</f>
        <v>202129032424</v>
      </c>
      <c r="E3147" s="10" t="s">
        <v>27</v>
      </c>
      <c r="F3147" s="6" t="s">
        <v>11</v>
      </c>
      <c r="G3147" s="8">
        <v>72.599999999999994</v>
      </c>
      <c r="H3147" s="6"/>
    </row>
    <row r="3148" spans="1:8">
      <c r="A3148" s="5">
        <v>3036</v>
      </c>
      <c r="B3148" s="6" t="str">
        <f>"黄露"</f>
        <v>黄露</v>
      </c>
      <c r="C3148" s="6" t="str">
        <f t="shared" si="144"/>
        <v>女</v>
      </c>
      <c r="D3148" s="6" t="str">
        <f>"202129032425"</f>
        <v>202129032425</v>
      </c>
      <c r="E3148" s="10" t="s">
        <v>27</v>
      </c>
      <c r="F3148" s="6" t="s">
        <v>11</v>
      </c>
      <c r="G3148" s="8">
        <v>73.55</v>
      </c>
      <c r="H3148" s="6"/>
    </row>
    <row r="3149" spans="1:8">
      <c r="A3149" s="5">
        <v>2937</v>
      </c>
      <c r="B3149" s="6" t="str">
        <f>"曾晔"</f>
        <v>曾晔</v>
      </c>
      <c r="C3149" s="6" t="str">
        <f t="shared" si="144"/>
        <v>女</v>
      </c>
      <c r="D3149" s="6" t="str">
        <f>"202129032426"</f>
        <v>202129032426</v>
      </c>
      <c r="E3149" s="10" t="s">
        <v>27</v>
      </c>
      <c r="F3149" s="6" t="s">
        <v>11</v>
      </c>
      <c r="G3149" s="8">
        <v>0</v>
      </c>
      <c r="H3149" s="9">
        <v>1</v>
      </c>
    </row>
    <row r="3150" spans="1:8">
      <c r="A3150" s="5">
        <v>3234</v>
      </c>
      <c r="B3150" s="6" t="str">
        <f>"王平平"</f>
        <v>王平平</v>
      </c>
      <c r="C3150" s="6" t="str">
        <f t="shared" si="144"/>
        <v>女</v>
      </c>
      <c r="D3150" s="6" t="str">
        <f>"202129032427"</f>
        <v>202129032427</v>
      </c>
      <c r="E3150" s="10" t="s">
        <v>27</v>
      </c>
      <c r="F3150" s="6" t="s">
        <v>11</v>
      </c>
      <c r="G3150" s="8">
        <v>79.25</v>
      </c>
      <c r="H3150" s="6"/>
    </row>
    <row r="3151" spans="1:8">
      <c r="A3151" s="5">
        <v>2831</v>
      </c>
      <c r="B3151" s="6" t="str">
        <f>"李金杰"</f>
        <v>李金杰</v>
      </c>
      <c r="C3151" s="6" t="str">
        <f t="shared" si="144"/>
        <v>女</v>
      </c>
      <c r="D3151" s="6" t="str">
        <f>"202129032428"</f>
        <v>202129032428</v>
      </c>
      <c r="E3151" s="10" t="s">
        <v>27</v>
      </c>
      <c r="F3151" s="6" t="s">
        <v>11</v>
      </c>
      <c r="G3151" s="8">
        <v>78.5</v>
      </c>
      <c r="H3151" s="6"/>
    </row>
    <row r="3152" spans="1:8">
      <c r="A3152" s="5">
        <v>2884</v>
      </c>
      <c r="B3152" s="6" t="str">
        <f>"李翠桂"</f>
        <v>李翠桂</v>
      </c>
      <c r="C3152" s="6" t="str">
        <f t="shared" si="144"/>
        <v>女</v>
      </c>
      <c r="D3152" s="6" t="str">
        <f>"202129032429"</f>
        <v>202129032429</v>
      </c>
      <c r="E3152" s="10" t="s">
        <v>27</v>
      </c>
      <c r="F3152" s="6" t="s">
        <v>11</v>
      </c>
      <c r="G3152" s="8">
        <v>86.55</v>
      </c>
      <c r="H3152" s="6"/>
    </row>
    <row r="3153" spans="1:8">
      <c r="A3153" s="5">
        <v>2988</v>
      </c>
      <c r="B3153" s="6" t="str">
        <f>"彭秀巧"</f>
        <v>彭秀巧</v>
      </c>
      <c r="C3153" s="6" t="str">
        <f t="shared" si="144"/>
        <v>女</v>
      </c>
      <c r="D3153" s="6" t="str">
        <f>"202129032430"</f>
        <v>202129032430</v>
      </c>
      <c r="E3153" s="10" t="s">
        <v>27</v>
      </c>
      <c r="F3153" s="6" t="s">
        <v>11</v>
      </c>
      <c r="G3153" s="8">
        <v>77.349999999999994</v>
      </c>
      <c r="H3153" s="6"/>
    </row>
    <row r="3154" spans="1:8">
      <c r="A3154" s="5">
        <v>2806</v>
      </c>
      <c r="B3154" s="6" t="str">
        <f>"李剪"</f>
        <v>李剪</v>
      </c>
      <c r="C3154" s="6" t="str">
        <f t="shared" si="144"/>
        <v>女</v>
      </c>
      <c r="D3154" s="6" t="str">
        <f>"202129032501"</f>
        <v>202129032501</v>
      </c>
      <c r="E3154" s="10" t="s">
        <v>27</v>
      </c>
      <c r="F3154" s="6" t="s">
        <v>11</v>
      </c>
      <c r="G3154" s="8">
        <v>56.1</v>
      </c>
      <c r="H3154" s="6"/>
    </row>
    <row r="3155" spans="1:8">
      <c r="A3155" s="5">
        <v>2789</v>
      </c>
      <c r="B3155" s="6" t="str">
        <f>"朱江典"</f>
        <v>朱江典</v>
      </c>
      <c r="C3155" s="6" t="str">
        <f t="shared" si="144"/>
        <v>女</v>
      </c>
      <c r="D3155" s="6" t="str">
        <f>"202129032502"</f>
        <v>202129032502</v>
      </c>
      <c r="E3155" s="10" t="s">
        <v>27</v>
      </c>
      <c r="F3155" s="6" t="s">
        <v>11</v>
      </c>
      <c r="G3155" s="8">
        <v>0</v>
      </c>
      <c r="H3155" s="9">
        <v>1</v>
      </c>
    </row>
    <row r="3156" spans="1:8">
      <c r="A3156" s="5">
        <v>2943</v>
      </c>
      <c r="B3156" s="6" t="str">
        <f>"唐振翔"</f>
        <v>唐振翔</v>
      </c>
      <c r="C3156" s="6" t="str">
        <f>"男"</f>
        <v>男</v>
      </c>
      <c r="D3156" s="6" t="str">
        <f>"202129032503"</f>
        <v>202129032503</v>
      </c>
      <c r="E3156" s="10" t="s">
        <v>27</v>
      </c>
      <c r="F3156" s="6" t="s">
        <v>11</v>
      </c>
      <c r="G3156" s="8">
        <v>86.85</v>
      </c>
      <c r="H3156" s="6"/>
    </row>
    <row r="3157" spans="1:8">
      <c r="A3157" s="5">
        <v>2963</v>
      </c>
      <c r="B3157" s="6" t="str">
        <f>"徐沛"</f>
        <v>徐沛</v>
      </c>
      <c r="C3157" s="6" t="str">
        <f>"女"</f>
        <v>女</v>
      </c>
      <c r="D3157" s="6" t="str">
        <f>"202129032504"</f>
        <v>202129032504</v>
      </c>
      <c r="E3157" s="10" t="s">
        <v>27</v>
      </c>
      <c r="F3157" s="6" t="s">
        <v>11</v>
      </c>
      <c r="G3157" s="8">
        <v>92.3</v>
      </c>
      <c r="H3157" s="6"/>
    </row>
    <row r="3158" spans="1:8">
      <c r="A3158" s="5">
        <v>2991</v>
      </c>
      <c r="B3158" s="6" t="str">
        <f>"康佳芳"</f>
        <v>康佳芳</v>
      </c>
      <c r="C3158" s="6" t="str">
        <f>"女"</f>
        <v>女</v>
      </c>
      <c r="D3158" s="6" t="str">
        <f>"202129032505"</f>
        <v>202129032505</v>
      </c>
      <c r="E3158" s="10" t="s">
        <v>27</v>
      </c>
      <c r="F3158" s="6" t="s">
        <v>11</v>
      </c>
      <c r="G3158" s="8">
        <v>85.35</v>
      </c>
      <c r="H3158" s="6"/>
    </row>
    <row r="3159" spans="1:8">
      <c r="A3159" s="5">
        <v>2971</v>
      </c>
      <c r="B3159" s="6" t="str">
        <f>"胡娟"</f>
        <v>胡娟</v>
      </c>
      <c r="C3159" s="6" t="str">
        <f>"女"</f>
        <v>女</v>
      </c>
      <c r="D3159" s="6" t="str">
        <f>"202129032506"</f>
        <v>202129032506</v>
      </c>
      <c r="E3159" s="10" t="s">
        <v>27</v>
      </c>
      <c r="F3159" s="6" t="s">
        <v>11</v>
      </c>
      <c r="G3159" s="8">
        <v>88.55</v>
      </c>
      <c r="H3159" s="6"/>
    </row>
    <row r="3160" spans="1:8">
      <c r="A3160" s="5">
        <v>3108</v>
      </c>
      <c r="B3160" s="6" t="str">
        <f>"程露"</f>
        <v>程露</v>
      </c>
      <c r="C3160" s="6" t="str">
        <f>"女"</f>
        <v>女</v>
      </c>
      <c r="D3160" s="6" t="str">
        <f>"202129032507"</f>
        <v>202129032507</v>
      </c>
      <c r="E3160" s="10" t="s">
        <v>27</v>
      </c>
      <c r="F3160" s="6" t="s">
        <v>11</v>
      </c>
      <c r="G3160" s="8">
        <v>81.150000000000006</v>
      </c>
      <c r="H3160" s="6"/>
    </row>
    <row r="3161" spans="1:8">
      <c r="A3161" s="5">
        <v>3060</v>
      </c>
      <c r="B3161" s="6" t="str">
        <f>"王少波"</f>
        <v>王少波</v>
      </c>
      <c r="C3161" s="6" t="str">
        <f>"男"</f>
        <v>男</v>
      </c>
      <c r="D3161" s="6" t="str">
        <f>"202129032508"</f>
        <v>202129032508</v>
      </c>
      <c r="E3161" s="10" t="s">
        <v>27</v>
      </c>
      <c r="F3161" s="6" t="s">
        <v>11</v>
      </c>
      <c r="G3161" s="8">
        <v>0</v>
      </c>
      <c r="H3161" s="9">
        <v>1</v>
      </c>
    </row>
    <row r="3162" spans="1:8">
      <c r="A3162" s="5">
        <v>2970</v>
      </c>
      <c r="B3162" s="6" t="str">
        <f>"黄诗凯"</f>
        <v>黄诗凯</v>
      </c>
      <c r="C3162" s="6" t="str">
        <f>"女"</f>
        <v>女</v>
      </c>
      <c r="D3162" s="6" t="str">
        <f>"202129032509"</f>
        <v>202129032509</v>
      </c>
      <c r="E3162" s="10" t="s">
        <v>27</v>
      </c>
      <c r="F3162" s="6" t="s">
        <v>11</v>
      </c>
      <c r="G3162" s="8">
        <v>70.099999999999994</v>
      </c>
      <c r="H3162" s="6"/>
    </row>
    <row r="3163" spans="1:8">
      <c r="A3163" s="5">
        <v>2985</v>
      </c>
      <c r="B3163" s="6" t="str">
        <f>"刘丰云"</f>
        <v>刘丰云</v>
      </c>
      <c r="C3163" s="6" t="str">
        <f>"女"</f>
        <v>女</v>
      </c>
      <c r="D3163" s="6" t="str">
        <f>"202129032510"</f>
        <v>202129032510</v>
      </c>
      <c r="E3163" s="10" t="s">
        <v>27</v>
      </c>
      <c r="F3163" s="6" t="s">
        <v>11</v>
      </c>
      <c r="G3163" s="8">
        <v>62.25</v>
      </c>
      <c r="H3163" s="6"/>
    </row>
    <row r="3164" spans="1:8">
      <c r="A3164" s="5">
        <v>3224</v>
      </c>
      <c r="B3164" s="6" t="str">
        <f>"蔡浪"</f>
        <v>蔡浪</v>
      </c>
      <c r="C3164" s="6" t="str">
        <f>"男"</f>
        <v>男</v>
      </c>
      <c r="D3164" s="6" t="str">
        <f>"202129032511"</f>
        <v>202129032511</v>
      </c>
      <c r="E3164" s="10" t="s">
        <v>27</v>
      </c>
      <c r="F3164" s="6" t="s">
        <v>11</v>
      </c>
      <c r="G3164" s="8">
        <v>88.8</v>
      </c>
      <c r="H3164" s="6"/>
    </row>
    <row r="3165" spans="1:8">
      <c r="A3165" s="5">
        <v>3070</v>
      </c>
      <c r="B3165" s="6" t="str">
        <f>"向慧"</f>
        <v>向慧</v>
      </c>
      <c r="C3165" s="6" t="str">
        <f>"女"</f>
        <v>女</v>
      </c>
      <c r="D3165" s="6" t="str">
        <f>"202129032512"</f>
        <v>202129032512</v>
      </c>
      <c r="E3165" s="10" t="s">
        <v>27</v>
      </c>
      <c r="F3165" s="6" t="s">
        <v>11</v>
      </c>
      <c r="G3165" s="8">
        <v>57.25</v>
      </c>
      <c r="H3165" s="6"/>
    </row>
    <row r="3166" spans="1:8">
      <c r="A3166" s="5">
        <v>2958</v>
      </c>
      <c r="B3166" s="6" t="str">
        <f>"李由甲"</f>
        <v>李由甲</v>
      </c>
      <c r="C3166" s="6" t="str">
        <f>"男"</f>
        <v>男</v>
      </c>
      <c r="D3166" s="6" t="str">
        <f>"202129032513"</f>
        <v>202129032513</v>
      </c>
      <c r="E3166" s="10" t="s">
        <v>27</v>
      </c>
      <c r="F3166" s="6" t="s">
        <v>11</v>
      </c>
      <c r="G3166" s="8">
        <v>75.05</v>
      </c>
      <c r="H3166" s="6"/>
    </row>
    <row r="3167" spans="1:8">
      <c r="A3167" s="5">
        <v>2802</v>
      </c>
      <c r="B3167" s="6" t="str">
        <f>"刘利华"</f>
        <v>刘利华</v>
      </c>
      <c r="C3167" s="6" t="str">
        <f>"女"</f>
        <v>女</v>
      </c>
      <c r="D3167" s="6" t="str">
        <f>"202129032514"</f>
        <v>202129032514</v>
      </c>
      <c r="E3167" s="10" t="s">
        <v>27</v>
      </c>
      <c r="F3167" s="6" t="s">
        <v>11</v>
      </c>
      <c r="G3167" s="8">
        <v>82.15</v>
      </c>
      <c r="H3167" s="6"/>
    </row>
    <row r="3168" spans="1:8">
      <c r="A3168" s="5">
        <v>2850</v>
      </c>
      <c r="B3168" s="6" t="str">
        <f>"刘志坚"</f>
        <v>刘志坚</v>
      </c>
      <c r="C3168" s="6" t="str">
        <f>"男"</f>
        <v>男</v>
      </c>
      <c r="D3168" s="6" t="str">
        <f>"202129032515"</f>
        <v>202129032515</v>
      </c>
      <c r="E3168" s="10" t="s">
        <v>27</v>
      </c>
      <c r="F3168" s="6" t="s">
        <v>11</v>
      </c>
      <c r="G3168" s="8">
        <v>82.9</v>
      </c>
      <c r="H3168" s="6"/>
    </row>
    <row r="3169" spans="1:8">
      <c r="A3169" s="5">
        <v>2919</v>
      </c>
      <c r="B3169" s="6" t="str">
        <f>"罗丽娟"</f>
        <v>罗丽娟</v>
      </c>
      <c r="C3169" s="6" t="str">
        <f t="shared" ref="C3169:C3176" si="145">"女"</f>
        <v>女</v>
      </c>
      <c r="D3169" s="6" t="str">
        <f>"202129032516"</f>
        <v>202129032516</v>
      </c>
      <c r="E3169" s="10" t="s">
        <v>27</v>
      </c>
      <c r="F3169" s="6" t="s">
        <v>11</v>
      </c>
      <c r="G3169" s="8">
        <v>80.7</v>
      </c>
      <c r="H3169" s="6"/>
    </row>
    <row r="3170" spans="1:8">
      <c r="A3170" s="5">
        <v>2803</v>
      </c>
      <c r="B3170" s="6" t="str">
        <f>"陈霜"</f>
        <v>陈霜</v>
      </c>
      <c r="C3170" s="6" t="str">
        <f t="shared" si="145"/>
        <v>女</v>
      </c>
      <c r="D3170" s="6" t="str">
        <f>"202129032517"</f>
        <v>202129032517</v>
      </c>
      <c r="E3170" s="10" t="s">
        <v>27</v>
      </c>
      <c r="F3170" s="6" t="s">
        <v>11</v>
      </c>
      <c r="G3170" s="8">
        <v>85.1</v>
      </c>
      <c r="H3170" s="6"/>
    </row>
    <row r="3171" spans="1:8">
      <c r="A3171" s="5">
        <v>3193</v>
      </c>
      <c r="B3171" s="6" t="str">
        <f>"蒋飘"</f>
        <v>蒋飘</v>
      </c>
      <c r="C3171" s="6" t="str">
        <f t="shared" si="145"/>
        <v>女</v>
      </c>
      <c r="D3171" s="6" t="str">
        <f>"202129032518"</f>
        <v>202129032518</v>
      </c>
      <c r="E3171" s="10" t="s">
        <v>27</v>
      </c>
      <c r="F3171" s="6" t="s">
        <v>11</v>
      </c>
      <c r="G3171" s="8">
        <v>87.05</v>
      </c>
      <c r="H3171" s="6"/>
    </row>
    <row r="3172" spans="1:8">
      <c r="A3172" s="5">
        <v>2911</v>
      </c>
      <c r="B3172" s="6" t="str">
        <f>"刘芳"</f>
        <v>刘芳</v>
      </c>
      <c r="C3172" s="6" t="str">
        <f t="shared" si="145"/>
        <v>女</v>
      </c>
      <c r="D3172" s="6" t="str">
        <f>"202129032519"</f>
        <v>202129032519</v>
      </c>
      <c r="E3172" s="10" t="s">
        <v>27</v>
      </c>
      <c r="F3172" s="6" t="s">
        <v>11</v>
      </c>
      <c r="G3172" s="8">
        <v>86</v>
      </c>
      <c r="H3172" s="6"/>
    </row>
    <row r="3173" spans="1:8">
      <c r="A3173" s="5">
        <v>2790</v>
      </c>
      <c r="B3173" s="6" t="str">
        <f>"张雪青"</f>
        <v>张雪青</v>
      </c>
      <c r="C3173" s="6" t="str">
        <f t="shared" si="145"/>
        <v>女</v>
      </c>
      <c r="D3173" s="6" t="str">
        <f>"202129032520"</f>
        <v>202129032520</v>
      </c>
      <c r="E3173" s="10" t="s">
        <v>27</v>
      </c>
      <c r="F3173" s="6" t="s">
        <v>11</v>
      </c>
      <c r="G3173" s="8">
        <v>82.55</v>
      </c>
      <c r="H3173" s="6"/>
    </row>
    <row r="3174" spans="1:8">
      <c r="A3174" s="5">
        <v>3127</v>
      </c>
      <c r="B3174" s="6" t="str">
        <f>"尹珊珊"</f>
        <v>尹珊珊</v>
      </c>
      <c r="C3174" s="6" t="str">
        <f t="shared" si="145"/>
        <v>女</v>
      </c>
      <c r="D3174" s="6" t="str">
        <f>"202129032521"</f>
        <v>202129032521</v>
      </c>
      <c r="E3174" s="10" t="s">
        <v>27</v>
      </c>
      <c r="F3174" s="6" t="s">
        <v>11</v>
      </c>
      <c r="G3174" s="8">
        <v>69.8</v>
      </c>
      <c r="H3174" s="6"/>
    </row>
    <row r="3175" spans="1:8">
      <c r="A3175" s="5">
        <v>3273</v>
      </c>
      <c r="B3175" s="6" t="str">
        <f>"谢陈晨"</f>
        <v>谢陈晨</v>
      </c>
      <c r="C3175" s="6" t="str">
        <f t="shared" si="145"/>
        <v>女</v>
      </c>
      <c r="D3175" s="6" t="str">
        <f>"202129032522"</f>
        <v>202129032522</v>
      </c>
      <c r="E3175" s="10" t="s">
        <v>27</v>
      </c>
      <c r="F3175" s="6" t="s">
        <v>11</v>
      </c>
      <c r="G3175" s="8">
        <v>77.150000000000006</v>
      </c>
      <c r="H3175" s="6"/>
    </row>
    <row r="3176" spans="1:8">
      <c r="A3176" s="5">
        <v>3063</v>
      </c>
      <c r="B3176" s="6" t="str">
        <f>"邓如侠"</f>
        <v>邓如侠</v>
      </c>
      <c r="C3176" s="6" t="str">
        <f t="shared" si="145"/>
        <v>女</v>
      </c>
      <c r="D3176" s="6" t="str">
        <f>"202129032523"</f>
        <v>202129032523</v>
      </c>
      <c r="E3176" s="10" t="s">
        <v>27</v>
      </c>
      <c r="F3176" s="6" t="s">
        <v>11</v>
      </c>
      <c r="G3176" s="8">
        <v>79.650000000000006</v>
      </c>
      <c r="H3176" s="6"/>
    </row>
    <row r="3177" spans="1:8">
      <c r="A3177" s="5">
        <v>3085</v>
      </c>
      <c r="B3177" s="6" t="str">
        <f>"向捷"</f>
        <v>向捷</v>
      </c>
      <c r="C3177" s="6" t="str">
        <f>"男"</f>
        <v>男</v>
      </c>
      <c r="D3177" s="6" t="str">
        <f>"202129032524"</f>
        <v>202129032524</v>
      </c>
      <c r="E3177" s="10" t="s">
        <v>27</v>
      </c>
      <c r="F3177" s="6" t="s">
        <v>11</v>
      </c>
      <c r="G3177" s="8">
        <v>59.85</v>
      </c>
      <c r="H3177" s="6"/>
    </row>
    <row r="3178" spans="1:8">
      <c r="A3178" s="5">
        <v>2909</v>
      </c>
      <c r="B3178" s="6" t="str">
        <f>"蒋琰"</f>
        <v>蒋琰</v>
      </c>
      <c r="C3178" s="6" t="str">
        <f>"女"</f>
        <v>女</v>
      </c>
      <c r="D3178" s="6" t="str">
        <f>"202129032525"</f>
        <v>202129032525</v>
      </c>
      <c r="E3178" s="10" t="s">
        <v>27</v>
      </c>
      <c r="F3178" s="6" t="s">
        <v>11</v>
      </c>
      <c r="G3178" s="8">
        <v>95</v>
      </c>
      <c r="H3178" s="6"/>
    </row>
    <row r="3179" spans="1:8">
      <c r="A3179" s="5">
        <v>2788</v>
      </c>
      <c r="B3179" s="6" t="str">
        <f>"覃巧丽"</f>
        <v>覃巧丽</v>
      </c>
      <c r="C3179" s="6" t="str">
        <f>"女"</f>
        <v>女</v>
      </c>
      <c r="D3179" s="6" t="str">
        <f>"202129032526"</f>
        <v>202129032526</v>
      </c>
      <c r="E3179" s="10" t="s">
        <v>27</v>
      </c>
      <c r="F3179" s="6" t="s">
        <v>11</v>
      </c>
      <c r="G3179" s="8">
        <v>85.85</v>
      </c>
      <c r="H3179" s="6"/>
    </row>
    <row r="3180" spans="1:8">
      <c r="A3180" s="5">
        <v>2906</v>
      </c>
      <c r="B3180" s="6" t="str">
        <f>"王文"</f>
        <v>王文</v>
      </c>
      <c r="C3180" s="6" t="str">
        <f>"男"</f>
        <v>男</v>
      </c>
      <c r="D3180" s="6" t="str">
        <f>"202129032527"</f>
        <v>202129032527</v>
      </c>
      <c r="E3180" s="10" t="s">
        <v>27</v>
      </c>
      <c r="F3180" s="6" t="s">
        <v>11</v>
      </c>
      <c r="G3180" s="8">
        <v>80.900000000000006</v>
      </c>
      <c r="H3180" s="6"/>
    </row>
    <row r="3181" spans="1:8">
      <c r="A3181" s="5">
        <v>2969</v>
      </c>
      <c r="B3181" s="6" t="str">
        <f>"蒋海涛"</f>
        <v>蒋海涛</v>
      </c>
      <c r="C3181" s="6" t="str">
        <f t="shared" ref="C3181:C3188" si="146">"女"</f>
        <v>女</v>
      </c>
      <c r="D3181" s="6" t="str">
        <f>"202129032528"</f>
        <v>202129032528</v>
      </c>
      <c r="E3181" s="10" t="s">
        <v>27</v>
      </c>
      <c r="F3181" s="6" t="s">
        <v>11</v>
      </c>
      <c r="G3181" s="8">
        <v>69.95</v>
      </c>
      <c r="H3181" s="6"/>
    </row>
    <row r="3182" spans="1:8">
      <c r="A3182" s="5">
        <v>3112</v>
      </c>
      <c r="B3182" s="6" t="str">
        <f>"曾小梨"</f>
        <v>曾小梨</v>
      </c>
      <c r="C3182" s="6" t="str">
        <f t="shared" si="146"/>
        <v>女</v>
      </c>
      <c r="D3182" s="6" t="str">
        <f>"202129032529"</f>
        <v>202129032529</v>
      </c>
      <c r="E3182" s="10" t="s">
        <v>27</v>
      </c>
      <c r="F3182" s="6" t="s">
        <v>11</v>
      </c>
      <c r="G3182" s="8">
        <v>83.05</v>
      </c>
      <c r="H3182" s="6"/>
    </row>
    <row r="3183" spans="1:8">
      <c r="A3183" s="5">
        <v>3042</v>
      </c>
      <c r="B3183" s="6" t="str">
        <f>"刘文波"</f>
        <v>刘文波</v>
      </c>
      <c r="C3183" s="6" t="str">
        <f t="shared" si="146"/>
        <v>女</v>
      </c>
      <c r="D3183" s="6" t="str">
        <f>"202129032530"</f>
        <v>202129032530</v>
      </c>
      <c r="E3183" s="10" t="s">
        <v>27</v>
      </c>
      <c r="F3183" s="6" t="s">
        <v>11</v>
      </c>
      <c r="G3183" s="8">
        <v>49.45</v>
      </c>
      <c r="H3183" s="6"/>
    </row>
    <row r="3184" spans="1:8">
      <c r="A3184" s="5">
        <v>3081</v>
      </c>
      <c r="B3184" s="6" t="str">
        <f>"彭连花"</f>
        <v>彭连花</v>
      </c>
      <c r="C3184" s="6" t="str">
        <f t="shared" si="146"/>
        <v>女</v>
      </c>
      <c r="D3184" s="6" t="str">
        <f>"202129032601"</f>
        <v>202129032601</v>
      </c>
      <c r="E3184" s="10" t="s">
        <v>27</v>
      </c>
      <c r="F3184" s="6" t="s">
        <v>11</v>
      </c>
      <c r="G3184" s="8">
        <v>75.5</v>
      </c>
      <c r="H3184" s="6"/>
    </row>
    <row r="3185" spans="1:8">
      <c r="A3185" s="5">
        <v>3198</v>
      </c>
      <c r="B3185" s="6" t="str">
        <f>"尹燕妮"</f>
        <v>尹燕妮</v>
      </c>
      <c r="C3185" s="6" t="str">
        <f t="shared" si="146"/>
        <v>女</v>
      </c>
      <c r="D3185" s="6" t="str">
        <f>"202129032602"</f>
        <v>202129032602</v>
      </c>
      <c r="E3185" s="10" t="s">
        <v>27</v>
      </c>
      <c r="F3185" s="6" t="s">
        <v>11</v>
      </c>
      <c r="G3185" s="8">
        <v>71.900000000000006</v>
      </c>
      <c r="H3185" s="6"/>
    </row>
    <row r="3186" spans="1:8">
      <c r="A3186" s="5">
        <v>3143</v>
      </c>
      <c r="B3186" s="6" t="str">
        <f>"刘明艳"</f>
        <v>刘明艳</v>
      </c>
      <c r="C3186" s="6" t="str">
        <f t="shared" si="146"/>
        <v>女</v>
      </c>
      <c r="D3186" s="6" t="str">
        <f>"202129032603"</f>
        <v>202129032603</v>
      </c>
      <c r="E3186" s="10" t="s">
        <v>27</v>
      </c>
      <c r="F3186" s="6" t="s">
        <v>11</v>
      </c>
      <c r="G3186" s="8">
        <v>80.099999999999994</v>
      </c>
      <c r="H3186" s="6"/>
    </row>
    <row r="3187" spans="1:8">
      <c r="A3187" s="5">
        <v>3118</v>
      </c>
      <c r="B3187" s="6" t="str">
        <f>"陈芳洁"</f>
        <v>陈芳洁</v>
      </c>
      <c r="C3187" s="6" t="str">
        <f t="shared" si="146"/>
        <v>女</v>
      </c>
      <c r="D3187" s="6" t="str">
        <f>"202129032604"</f>
        <v>202129032604</v>
      </c>
      <c r="E3187" s="10" t="s">
        <v>27</v>
      </c>
      <c r="F3187" s="6" t="s">
        <v>11</v>
      </c>
      <c r="G3187" s="8">
        <v>92.25</v>
      </c>
      <c r="H3187" s="6"/>
    </row>
    <row r="3188" spans="1:8">
      <c r="A3188" s="5">
        <v>2838</v>
      </c>
      <c r="B3188" s="6" t="str">
        <f>"刘曼"</f>
        <v>刘曼</v>
      </c>
      <c r="C3188" s="6" t="str">
        <f t="shared" si="146"/>
        <v>女</v>
      </c>
      <c r="D3188" s="6" t="str">
        <f>"202129032605"</f>
        <v>202129032605</v>
      </c>
      <c r="E3188" s="10" t="s">
        <v>27</v>
      </c>
      <c r="F3188" s="6" t="s">
        <v>11</v>
      </c>
      <c r="G3188" s="8">
        <v>59.6</v>
      </c>
      <c r="H3188" s="6"/>
    </row>
    <row r="3189" spans="1:8">
      <c r="A3189" s="5">
        <v>2773</v>
      </c>
      <c r="B3189" s="6" t="str">
        <f>"石坚"</f>
        <v>石坚</v>
      </c>
      <c r="C3189" s="6" t="str">
        <f>"男"</f>
        <v>男</v>
      </c>
      <c r="D3189" s="6" t="str">
        <f>"202129032606"</f>
        <v>202129032606</v>
      </c>
      <c r="E3189" s="10" t="s">
        <v>27</v>
      </c>
      <c r="F3189" s="6" t="s">
        <v>11</v>
      </c>
      <c r="G3189" s="8">
        <v>84.4</v>
      </c>
      <c r="H3189" s="6"/>
    </row>
    <row r="3190" spans="1:8">
      <c r="A3190" s="5">
        <v>2920</v>
      </c>
      <c r="B3190" s="6" t="str">
        <f>"史伟民"</f>
        <v>史伟民</v>
      </c>
      <c r="C3190" s="6" t="str">
        <f>"男"</f>
        <v>男</v>
      </c>
      <c r="D3190" s="6" t="str">
        <f>"202129032607"</f>
        <v>202129032607</v>
      </c>
      <c r="E3190" s="10" t="s">
        <v>27</v>
      </c>
      <c r="F3190" s="6" t="s">
        <v>11</v>
      </c>
      <c r="G3190" s="8">
        <v>69.2</v>
      </c>
      <c r="H3190" s="6"/>
    </row>
    <row r="3191" spans="1:8">
      <c r="A3191" s="5">
        <v>2871</v>
      </c>
      <c r="B3191" s="6" t="str">
        <f>"谢维冬"</f>
        <v>谢维冬</v>
      </c>
      <c r="C3191" s="6" t="str">
        <f>"男"</f>
        <v>男</v>
      </c>
      <c r="D3191" s="6" t="str">
        <f>"202129032608"</f>
        <v>202129032608</v>
      </c>
      <c r="E3191" s="10" t="s">
        <v>27</v>
      </c>
      <c r="F3191" s="6" t="s">
        <v>11</v>
      </c>
      <c r="G3191" s="8">
        <v>71.900000000000006</v>
      </c>
      <c r="H3191" s="6"/>
    </row>
    <row r="3192" spans="1:8">
      <c r="A3192" s="5">
        <v>3204</v>
      </c>
      <c r="B3192" s="6" t="str">
        <f>"李玉姣"</f>
        <v>李玉姣</v>
      </c>
      <c r="C3192" s="6" t="str">
        <f>"女"</f>
        <v>女</v>
      </c>
      <c r="D3192" s="6" t="str">
        <f>"202129032609"</f>
        <v>202129032609</v>
      </c>
      <c r="E3192" s="10" t="s">
        <v>27</v>
      </c>
      <c r="F3192" s="6" t="s">
        <v>11</v>
      </c>
      <c r="G3192" s="8">
        <v>86.15</v>
      </c>
      <c r="H3192" s="6"/>
    </row>
    <row r="3193" spans="1:8">
      <c r="A3193" s="5">
        <v>3194</v>
      </c>
      <c r="B3193" s="6" t="str">
        <f>"李京林"</f>
        <v>李京林</v>
      </c>
      <c r="C3193" s="6" t="str">
        <f>"男"</f>
        <v>男</v>
      </c>
      <c r="D3193" s="6" t="str">
        <f>"202129032610"</f>
        <v>202129032610</v>
      </c>
      <c r="E3193" s="10" t="s">
        <v>27</v>
      </c>
      <c r="F3193" s="6" t="s">
        <v>11</v>
      </c>
      <c r="G3193" s="8">
        <v>80.400000000000006</v>
      </c>
      <c r="H3193" s="6"/>
    </row>
    <row r="3194" spans="1:8">
      <c r="A3194" s="5">
        <v>3271</v>
      </c>
      <c r="B3194" s="6" t="str">
        <f>"赵双武"</f>
        <v>赵双武</v>
      </c>
      <c r="C3194" s="6" t="str">
        <f>"男"</f>
        <v>男</v>
      </c>
      <c r="D3194" s="6" t="str">
        <f>"202129032611"</f>
        <v>202129032611</v>
      </c>
      <c r="E3194" s="10" t="s">
        <v>27</v>
      </c>
      <c r="F3194" s="6" t="s">
        <v>11</v>
      </c>
      <c r="G3194" s="8">
        <v>85.55</v>
      </c>
      <c r="H3194" s="6"/>
    </row>
    <row r="3195" spans="1:8">
      <c r="A3195" s="5">
        <v>3196</v>
      </c>
      <c r="B3195" s="6" t="str">
        <f>"钟柔柔"</f>
        <v>钟柔柔</v>
      </c>
      <c r="C3195" s="6" t="str">
        <f>"女"</f>
        <v>女</v>
      </c>
      <c r="D3195" s="6" t="str">
        <f>"202129032612"</f>
        <v>202129032612</v>
      </c>
      <c r="E3195" s="10" t="s">
        <v>27</v>
      </c>
      <c r="F3195" s="6" t="s">
        <v>11</v>
      </c>
      <c r="G3195" s="8">
        <v>75.849999999999994</v>
      </c>
      <c r="H3195" s="6"/>
    </row>
    <row r="3196" spans="1:8">
      <c r="A3196" s="5">
        <v>2847</v>
      </c>
      <c r="B3196" s="6" t="str">
        <f>"刘伟"</f>
        <v>刘伟</v>
      </c>
      <c r="C3196" s="6" t="str">
        <f>"男"</f>
        <v>男</v>
      </c>
      <c r="D3196" s="6" t="str">
        <f>"202129032613"</f>
        <v>202129032613</v>
      </c>
      <c r="E3196" s="10" t="s">
        <v>27</v>
      </c>
      <c r="F3196" s="6" t="s">
        <v>11</v>
      </c>
      <c r="G3196" s="8">
        <v>84</v>
      </c>
      <c r="H3196" s="6"/>
    </row>
    <row r="3197" spans="1:8">
      <c r="A3197" s="5">
        <v>2925</v>
      </c>
      <c r="B3197" s="6" t="str">
        <f>"周冬慧"</f>
        <v>周冬慧</v>
      </c>
      <c r="C3197" s="6" t="str">
        <f>"女"</f>
        <v>女</v>
      </c>
      <c r="D3197" s="6" t="str">
        <f>"202129032614"</f>
        <v>202129032614</v>
      </c>
      <c r="E3197" s="10" t="s">
        <v>27</v>
      </c>
      <c r="F3197" s="6" t="s">
        <v>11</v>
      </c>
      <c r="G3197" s="8">
        <v>79.599999999999994</v>
      </c>
      <c r="H3197" s="6"/>
    </row>
    <row r="3198" spans="1:8">
      <c r="A3198" s="5">
        <v>3192</v>
      </c>
      <c r="B3198" s="6" t="str">
        <f>"杨攀"</f>
        <v>杨攀</v>
      </c>
      <c r="C3198" s="6" t="str">
        <f>"女"</f>
        <v>女</v>
      </c>
      <c r="D3198" s="6" t="str">
        <f>"202129032615"</f>
        <v>202129032615</v>
      </c>
      <c r="E3198" s="10" t="s">
        <v>27</v>
      </c>
      <c r="F3198" s="6" t="s">
        <v>11</v>
      </c>
      <c r="G3198" s="8">
        <v>53.85</v>
      </c>
      <c r="H3198" s="6"/>
    </row>
    <row r="3199" spans="1:8">
      <c r="A3199" s="5">
        <v>2960</v>
      </c>
      <c r="B3199" s="6" t="str">
        <f>"罗宇轩"</f>
        <v>罗宇轩</v>
      </c>
      <c r="C3199" s="6" t="str">
        <f>"男"</f>
        <v>男</v>
      </c>
      <c r="D3199" s="6" t="str">
        <f>"202129032616"</f>
        <v>202129032616</v>
      </c>
      <c r="E3199" s="10" t="s">
        <v>27</v>
      </c>
      <c r="F3199" s="6" t="s">
        <v>11</v>
      </c>
      <c r="G3199" s="8">
        <v>76.3</v>
      </c>
      <c r="H3199" s="6"/>
    </row>
    <row r="3200" spans="1:8">
      <c r="A3200" s="5">
        <v>3228</v>
      </c>
      <c r="B3200" s="6" t="str">
        <f>"杨军燕"</f>
        <v>杨军燕</v>
      </c>
      <c r="C3200" s="6" t="str">
        <f t="shared" ref="C3200:C3212" si="147">"女"</f>
        <v>女</v>
      </c>
      <c r="D3200" s="6" t="str">
        <f>"202129032617"</f>
        <v>202129032617</v>
      </c>
      <c r="E3200" s="10" t="s">
        <v>27</v>
      </c>
      <c r="F3200" s="6" t="s">
        <v>11</v>
      </c>
      <c r="G3200" s="8">
        <v>93</v>
      </c>
      <c r="H3200" s="6"/>
    </row>
    <row r="3201" spans="1:8">
      <c r="A3201" s="5">
        <v>3265</v>
      </c>
      <c r="B3201" s="6" t="str">
        <f>"易飞"</f>
        <v>易飞</v>
      </c>
      <c r="C3201" s="6" t="str">
        <f t="shared" si="147"/>
        <v>女</v>
      </c>
      <c r="D3201" s="6" t="str">
        <f>"202129032618"</f>
        <v>202129032618</v>
      </c>
      <c r="E3201" s="10" t="s">
        <v>27</v>
      </c>
      <c r="F3201" s="6" t="s">
        <v>11</v>
      </c>
      <c r="G3201" s="8">
        <v>79.150000000000006</v>
      </c>
      <c r="H3201" s="6"/>
    </row>
    <row r="3202" spans="1:8">
      <c r="A3202" s="5">
        <v>3167</v>
      </c>
      <c r="B3202" s="6" t="str">
        <f>"赵海容"</f>
        <v>赵海容</v>
      </c>
      <c r="C3202" s="6" t="str">
        <f t="shared" si="147"/>
        <v>女</v>
      </c>
      <c r="D3202" s="6" t="str">
        <f>"202129032619"</f>
        <v>202129032619</v>
      </c>
      <c r="E3202" s="10" t="s">
        <v>27</v>
      </c>
      <c r="F3202" s="6" t="s">
        <v>11</v>
      </c>
      <c r="G3202" s="8">
        <v>77.099999999999994</v>
      </c>
      <c r="H3202" s="6"/>
    </row>
    <row r="3203" spans="1:8">
      <c r="A3203" s="5">
        <v>2888</v>
      </c>
      <c r="B3203" s="6" t="str">
        <f>"伍贤娟"</f>
        <v>伍贤娟</v>
      </c>
      <c r="C3203" s="6" t="str">
        <f t="shared" si="147"/>
        <v>女</v>
      </c>
      <c r="D3203" s="6" t="str">
        <f>"202129032620"</f>
        <v>202129032620</v>
      </c>
      <c r="E3203" s="10" t="s">
        <v>27</v>
      </c>
      <c r="F3203" s="6" t="s">
        <v>11</v>
      </c>
      <c r="G3203" s="8">
        <v>75.5</v>
      </c>
      <c r="H3203" s="6"/>
    </row>
    <row r="3204" spans="1:8">
      <c r="A3204" s="5">
        <v>3221</v>
      </c>
      <c r="B3204" s="6" t="str">
        <f>"陈汝超"</f>
        <v>陈汝超</v>
      </c>
      <c r="C3204" s="6" t="str">
        <f t="shared" si="147"/>
        <v>女</v>
      </c>
      <c r="D3204" s="6" t="str">
        <f>"202129032621"</f>
        <v>202129032621</v>
      </c>
      <c r="E3204" s="10" t="s">
        <v>27</v>
      </c>
      <c r="F3204" s="6" t="s">
        <v>11</v>
      </c>
      <c r="G3204" s="8">
        <v>94</v>
      </c>
      <c r="H3204" s="6"/>
    </row>
    <row r="3205" spans="1:8">
      <c r="A3205" s="5">
        <v>2910</v>
      </c>
      <c r="B3205" s="6" t="str">
        <f>"周裕科"</f>
        <v>周裕科</v>
      </c>
      <c r="C3205" s="6" t="str">
        <f t="shared" si="147"/>
        <v>女</v>
      </c>
      <c r="D3205" s="6" t="str">
        <f>"202129032622"</f>
        <v>202129032622</v>
      </c>
      <c r="E3205" s="10" t="s">
        <v>27</v>
      </c>
      <c r="F3205" s="6" t="s">
        <v>11</v>
      </c>
      <c r="G3205" s="8">
        <v>79.400000000000006</v>
      </c>
      <c r="H3205" s="6"/>
    </row>
    <row r="3206" spans="1:8">
      <c r="A3206" s="5">
        <v>2849</v>
      </c>
      <c r="B3206" s="6" t="str">
        <f>"刘慧"</f>
        <v>刘慧</v>
      </c>
      <c r="C3206" s="6" t="str">
        <f t="shared" si="147"/>
        <v>女</v>
      </c>
      <c r="D3206" s="6" t="str">
        <f>"202129032623"</f>
        <v>202129032623</v>
      </c>
      <c r="E3206" s="10" t="s">
        <v>27</v>
      </c>
      <c r="F3206" s="6" t="s">
        <v>11</v>
      </c>
      <c r="G3206" s="8">
        <v>75.3</v>
      </c>
      <c r="H3206" s="6"/>
    </row>
    <row r="3207" spans="1:8">
      <c r="A3207" s="5">
        <v>3053</v>
      </c>
      <c r="B3207" s="6" t="str">
        <f>"马加蓉"</f>
        <v>马加蓉</v>
      </c>
      <c r="C3207" s="6" t="str">
        <f t="shared" si="147"/>
        <v>女</v>
      </c>
      <c r="D3207" s="6" t="str">
        <f>"202129032624"</f>
        <v>202129032624</v>
      </c>
      <c r="E3207" s="10" t="s">
        <v>27</v>
      </c>
      <c r="F3207" s="6" t="s">
        <v>11</v>
      </c>
      <c r="G3207" s="8">
        <v>46.45</v>
      </c>
      <c r="H3207" s="6"/>
    </row>
    <row r="3208" spans="1:8">
      <c r="A3208" s="5">
        <v>3163</v>
      </c>
      <c r="B3208" s="6" t="str">
        <f>"唐娜"</f>
        <v>唐娜</v>
      </c>
      <c r="C3208" s="6" t="str">
        <f t="shared" si="147"/>
        <v>女</v>
      </c>
      <c r="D3208" s="6" t="str">
        <f>"202129032625"</f>
        <v>202129032625</v>
      </c>
      <c r="E3208" s="10" t="s">
        <v>27</v>
      </c>
      <c r="F3208" s="6" t="s">
        <v>11</v>
      </c>
      <c r="G3208" s="8">
        <v>77.150000000000006</v>
      </c>
      <c r="H3208" s="6"/>
    </row>
    <row r="3209" spans="1:8">
      <c r="A3209" s="5">
        <v>2796</v>
      </c>
      <c r="B3209" s="6" t="str">
        <f>"蒋瑛子"</f>
        <v>蒋瑛子</v>
      </c>
      <c r="C3209" s="6" t="str">
        <f t="shared" si="147"/>
        <v>女</v>
      </c>
      <c r="D3209" s="6" t="str">
        <f>"202129032626"</f>
        <v>202129032626</v>
      </c>
      <c r="E3209" s="10" t="s">
        <v>27</v>
      </c>
      <c r="F3209" s="6" t="s">
        <v>11</v>
      </c>
      <c r="G3209" s="8">
        <v>63.5</v>
      </c>
      <c r="H3209" s="6"/>
    </row>
    <row r="3210" spans="1:8">
      <c r="A3210" s="5">
        <v>2885</v>
      </c>
      <c r="B3210" s="6" t="str">
        <f>"肖苗苗"</f>
        <v>肖苗苗</v>
      </c>
      <c r="C3210" s="6" t="str">
        <f t="shared" si="147"/>
        <v>女</v>
      </c>
      <c r="D3210" s="6" t="str">
        <f>"202129032627"</f>
        <v>202129032627</v>
      </c>
      <c r="E3210" s="10" t="s">
        <v>27</v>
      </c>
      <c r="F3210" s="6" t="s">
        <v>11</v>
      </c>
      <c r="G3210" s="8">
        <v>86.05</v>
      </c>
      <c r="H3210" s="6"/>
    </row>
    <row r="3211" spans="1:8">
      <c r="A3211" s="5">
        <v>3089</v>
      </c>
      <c r="B3211" s="6" t="str">
        <f>"肖惠琼"</f>
        <v>肖惠琼</v>
      </c>
      <c r="C3211" s="6" t="str">
        <f t="shared" si="147"/>
        <v>女</v>
      </c>
      <c r="D3211" s="6" t="str">
        <f>"202129032628"</f>
        <v>202129032628</v>
      </c>
      <c r="E3211" s="10" t="s">
        <v>27</v>
      </c>
      <c r="F3211" s="6" t="s">
        <v>11</v>
      </c>
      <c r="G3211" s="8">
        <v>74.349999999999994</v>
      </c>
      <c r="H3211" s="6"/>
    </row>
    <row r="3212" spans="1:8">
      <c r="A3212" s="5">
        <v>3244</v>
      </c>
      <c r="B3212" s="6" t="str">
        <f>"李琳"</f>
        <v>李琳</v>
      </c>
      <c r="C3212" s="6" t="str">
        <f t="shared" si="147"/>
        <v>女</v>
      </c>
      <c r="D3212" s="6" t="str">
        <f>"202129032629"</f>
        <v>202129032629</v>
      </c>
      <c r="E3212" s="10" t="s">
        <v>27</v>
      </c>
      <c r="F3212" s="6" t="s">
        <v>11</v>
      </c>
      <c r="G3212" s="8">
        <v>70.45</v>
      </c>
      <c r="H3212" s="6"/>
    </row>
    <row r="3213" spans="1:8">
      <c r="A3213" s="5">
        <v>3214</v>
      </c>
      <c r="B3213" s="6" t="str">
        <f>"徐安健"</f>
        <v>徐安健</v>
      </c>
      <c r="C3213" s="6" t="str">
        <f>"男"</f>
        <v>男</v>
      </c>
      <c r="D3213" s="6" t="str">
        <f>"202129032630"</f>
        <v>202129032630</v>
      </c>
      <c r="E3213" s="10" t="s">
        <v>27</v>
      </c>
      <c r="F3213" s="6" t="s">
        <v>11</v>
      </c>
      <c r="G3213" s="8">
        <v>57</v>
      </c>
      <c r="H3213" s="6"/>
    </row>
    <row r="3214" spans="1:8">
      <c r="A3214" s="5">
        <v>2759</v>
      </c>
      <c r="B3214" s="6" t="str">
        <f>"石珍"</f>
        <v>石珍</v>
      </c>
      <c r="C3214" s="6" t="str">
        <f t="shared" ref="C3214:C3222" si="148">"女"</f>
        <v>女</v>
      </c>
      <c r="D3214" s="6" t="str">
        <f>"202129032701"</f>
        <v>202129032701</v>
      </c>
      <c r="E3214" s="10" t="s">
        <v>27</v>
      </c>
      <c r="F3214" s="6" t="s">
        <v>11</v>
      </c>
      <c r="G3214" s="8">
        <v>0</v>
      </c>
      <c r="H3214" s="9">
        <v>1</v>
      </c>
    </row>
    <row r="3215" spans="1:8">
      <c r="A3215" s="5">
        <v>2966</v>
      </c>
      <c r="B3215" s="6" t="str">
        <f>"李姣"</f>
        <v>李姣</v>
      </c>
      <c r="C3215" s="6" t="str">
        <f t="shared" si="148"/>
        <v>女</v>
      </c>
      <c r="D3215" s="6" t="str">
        <f>"202129032702"</f>
        <v>202129032702</v>
      </c>
      <c r="E3215" s="10" t="s">
        <v>27</v>
      </c>
      <c r="F3215" s="6" t="s">
        <v>11</v>
      </c>
      <c r="G3215" s="8">
        <v>75.900000000000006</v>
      </c>
      <c r="H3215" s="6"/>
    </row>
    <row r="3216" spans="1:8">
      <c r="A3216" s="5">
        <v>3197</v>
      </c>
      <c r="B3216" s="6" t="str">
        <f>"刘芊芊"</f>
        <v>刘芊芊</v>
      </c>
      <c r="C3216" s="6" t="str">
        <f t="shared" si="148"/>
        <v>女</v>
      </c>
      <c r="D3216" s="6" t="str">
        <f>"202129032703"</f>
        <v>202129032703</v>
      </c>
      <c r="E3216" s="10" t="s">
        <v>27</v>
      </c>
      <c r="F3216" s="6" t="s">
        <v>11</v>
      </c>
      <c r="G3216" s="8">
        <v>74.55</v>
      </c>
      <c r="H3216" s="6"/>
    </row>
    <row r="3217" spans="1:8">
      <c r="A3217" s="5">
        <v>2900</v>
      </c>
      <c r="B3217" s="6" t="str">
        <f>"李艳"</f>
        <v>李艳</v>
      </c>
      <c r="C3217" s="6" t="str">
        <f t="shared" si="148"/>
        <v>女</v>
      </c>
      <c r="D3217" s="6" t="str">
        <f>"202129032704"</f>
        <v>202129032704</v>
      </c>
      <c r="E3217" s="10" t="s">
        <v>27</v>
      </c>
      <c r="F3217" s="6" t="s">
        <v>11</v>
      </c>
      <c r="G3217" s="8">
        <v>48.45</v>
      </c>
      <c r="H3217" s="6"/>
    </row>
    <row r="3218" spans="1:8">
      <c r="A3218" s="5">
        <v>3176</v>
      </c>
      <c r="B3218" s="6" t="str">
        <f>"唐冬园"</f>
        <v>唐冬园</v>
      </c>
      <c r="C3218" s="6" t="str">
        <f t="shared" si="148"/>
        <v>女</v>
      </c>
      <c r="D3218" s="6" t="str">
        <f>"202129032705"</f>
        <v>202129032705</v>
      </c>
      <c r="E3218" s="10" t="s">
        <v>27</v>
      </c>
      <c r="F3218" s="6" t="s">
        <v>11</v>
      </c>
      <c r="G3218" s="8">
        <v>64</v>
      </c>
      <c r="H3218" s="6"/>
    </row>
    <row r="3219" spans="1:8">
      <c r="A3219" s="5">
        <v>2945</v>
      </c>
      <c r="B3219" s="6" t="str">
        <f>"莫慧芳"</f>
        <v>莫慧芳</v>
      </c>
      <c r="C3219" s="6" t="str">
        <f t="shared" si="148"/>
        <v>女</v>
      </c>
      <c r="D3219" s="6" t="str">
        <f>"202129032706"</f>
        <v>202129032706</v>
      </c>
      <c r="E3219" s="10" t="s">
        <v>27</v>
      </c>
      <c r="F3219" s="6" t="s">
        <v>11</v>
      </c>
      <c r="G3219" s="8">
        <v>78.349999999999994</v>
      </c>
      <c r="H3219" s="6"/>
    </row>
    <row r="3220" spans="1:8">
      <c r="A3220" s="5">
        <v>3268</v>
      </c>
      <c r="B3220" s="6" t="str">
        <f>"蒋思蕾"</f>
        <v>蒋思蕾</v>
      </c>
      <c r="C3220" s="6" t="str">
        <f t="shared" si="148"/>
        <v>女</v>
      </c>
      <c r="D3220" s="6" t="str">
        <f>"202129032707"</f>
        <v>202129032707</v>
      </c>
      <c r="E3220" s="10" t="s">
        <v>27</v>
      </c>
      <c r="F3220" s="6" t="s">
        <v>11</v>
      </c>
      <c r="G3220" s="8">
        <v>65.150000000000006</v>
      </c>
      <c r="H3220" s="6"/>
    </row>
    <row r="3221" spans="1:8">
      <c r="A3221" s="5">
        <v>2809</v>
      </c>
      <c r="B3221" s="6" t="str">
        <f>"张蕤"</f>
        <v>张蕤</v>
      </c>
      <c r="C3221" s="6" t="str">
        <f t="shared" si="148"/>
        <v>女</v>
      </c>
      <c r="D3221" s="6" t="str">
        <f>"202129032708"</f>
        <v>202129032708</v>
      </c>
      <c r="E3221" s="10" t="s">
        <v>27</v>
      </c>
      <c r="F3221" s="6" t="s">
        <v>11</v>
      </c>
      <c r="G3221" s="8">
        <v>77.95</v>
      </c>
      <c r="H3221" s="6"/>
    </row>
    <row r="3222" spans="1:8">
      <c r="A3222" s="5">
        <v>2841</v>
      </c>
      <c r="B3222" s="6" t="str">
        <f>"郑小溪"</f>
        <v>郑小溪</v>
      </c>
      <c r="C3222" s="6" t="str">
        <f t="shared" si="148"/>
        <v>女</v>
      </c>
      <c r="D3222" s="6" t="str">
        <f>"202129032709"</f>
        <v>202129032709</v>
      </c>
      <c r="E3222" s="10" t="s">
        <v>27</v>
      </c>
      <c r="F3222" s="6" t="s">
        <v>11</v>
      </c>
      <c r="G3222" s="8">
        <v>70.25</v>
      </c>
      <c r="H3222" s="6"/>
    </row>
    <row r="3223" spans="1:8">
      <c r="A3223" s="5">
        <v>3047</v>
      </c>
      <c r="B3223" s="6" t="str">
        <f>"阳辉"</f>
        <v>阳辉</v>
      </c>
      <c r="C3223" s="6" t="str">
        <f>"男"</f>
        <v>男</v>
      </c>
      <c r="D3223" s="6" t="str">
        <f>"202129032710"</f>
        <v>202129032710</v>
      </c>
      <c r="E3223" s="10" t="s">
        <v>27</v>
      </c>
      <c r="F3223" s="6" t="s">
        <v>11</v>
      </c>
      <c r="G3223" s="8">
        <v>68.45</v>
      </c>
      <c r="H3223" s="6"/>
    </row>
    <row r="3224" spans="1:8">
      <c r="A3224" s="5">
        <v>3216</v>
      </c>
      <c r="B3224" s="6" t="str">
        <f>"张米"</f>
        <v>张米</v>
      </c>
      <c r="C3224" s="6" t="str">
        <f t="shared" ref="C3224:C3233" si="149">"女"</f>
        <v>女</v>
      </c>
      <c r="D3224" s="6" t="str">
        <f>"202129032711"</f>
        <v>202129032711</v>
      </c>
      <c r="E3224" s="10" t="s">
        <v>27</v>
      </c>
      <c r="F3224" s="6" t="s">
        <v>11</v>
      </c>
      <c r="G3224" s="8">
        <v>69.849999999999994</v>
      </c>
      <c r="H3224" s="6"/>
    </row>
    <row r="3225" spans="1:8">
      <c r="A3225" s="5">
        <v>2928</v>
      </c>
      <c r="B3225" s="6" t="str">
        <f>"唐雨洪"</f>
        <v>唐雨洪</v>
      </c>
      <c r="C3225" s="6" t="str">
        <f t="shared" si="149"/>
        <v>女</v>
      </c>
      <c r="D3225" s="6" t="str">
        <f>"202129032712"</f>
        <v>202129032712</v>
      </c>
      <c r="E3225" s="10" t="s">
        <v>27</v>
      </c>
      <c r="F3225" s="6" t="s">
        <v>11</v>
      </c>
      <c r="G3225" s="8">
        <v>81.099999999999994</v>
      </c>
      <c r="H3225" s="6"/>
    </row>
    <row r="3226" spans="1:8">
      <c r="A3226" s="5">
        <v>2846</v>
      </c>
      <c r="B3226" s="6" t="str">
        <f>"张曼玉"</f>
        <v>张曼玉</v>
      </c>
      <c r="C3226" s="6" t="str">
        <f t="shared" si="149"/>
        <v>女</v>
      </c>
      <c r="D3226" s="6" t="str">
        <f>"202129032713"</f>
        <v>202129032713</v>
      </c>
      <c r="E3226" s="10" t="s">
        <v>27</v>
      </c>
      <c r="F3226" s="6" t="s">
        <v>11</v>
      </c>
      <c r="G3226" s="8">
        <v>55.15</v>
      </c>
      <c r="H3226" s="6"/>
    </row>
    <row r="3227" spans="1:8">
      <c r="A3227" s="5">
        <v>2753</v>
      </c>
      <c r="B3227" s="6" t="str">
        <f>"任宇婷"</f>
        <v>任宇婷</v>
      </c>
      <c r="C3227" s="6" t="str">
        <f t="shared" si="149"/>
        <v>女</v>
      </c>
      <c r="D3227" s="6" t="str">
        <f>"202129032714"</f>
        <v>202129032714</v>
      </c>
      <c r="E3227" s="10" t="s">
        <v>27</v>
      </c>
      <c r="F3227" s="6" t="s">
        <v>11</v>
      </c>
      <c r="G3227" s="8">
        <v>0</v>
      </c>
      <c r="H3227" s="9">
        <v>1</v>
      </c>
    </row>
    <row r="3228" spans="1:8">
      <c r="A3228" s="5">
        <v>2994</v>
      </c>
      <c r="B3228" s="6" t="str">
        <f>"陈丹"</f>
        <v>陈丹</v>
      </c>
      <c r="C3228" s="6" t="str">
        <f t="shared" si="149"/>
        <v>女</v>
      </c>
      <c r="D3228" s="6" t="str">
        <f>"202129032715"</f>
        <v>202129032715</v>
      </c>
      <c r="E3228" s="10" t="s">
        <v>27</v>
      </c>
      <c r="F3228" s="6" t="s">
        <v>11</v>
      </c>
      <c r="G3228" s="8">
        <v>68.25</v>
      </c>
      <c r="H3228" s="6"/>
    </row>
    <row r="3229" spans="1:8">
      <c r="A3229" s="5">
        <v>2835</v>
      </c>
      <c r="B3229" s="6" t="str">
        <f>"卿聪聪"</f>
        <v>卿聪聪</v>
      </c>
      <c r="C3229" s="6" t="str">
        <f t="shared" si="149"/>
        <v>女</v>
      </c>
      <c r="D3229" s="6" t="str">
        <f>"202129032716"</f>
        <v>202129032716</v>
      </c>
      <c r="E3229" s="10" t="s">
        <v>27</v>
      </c>
      <c r="F3229" s="6" t="s">
        <v>11</v>
      </c>
      <c r="G3229" s="8">
        <v>61.45</v>
      </c>
      <c r="H3229" s="6"/>
    </row>
    <row r="3230" spans="1:8">
      <c r="A3230" s="5">
        <v>3209</v>
      </c>
      <c r="B3230" s="6" t="str">
        <f>"曹慧婷"</f>
        <v>曹慧婷</v>
      </c>
      <c r="C3230" s="6" t="str">
        <f t="shared" si="149"/>
        <v>女</v>
      </c>
      <c r="D3230" s="6" t="str">
        <f>"202129032717"</f>
        <v>202129032717</v>
      </c>
      <c r="E3230" s="10" t="s">
        <v>27</v>
      </c>
      <c r="F3230" s="6" t="s">
        <v>11</v>
      </c>
      <c r="G3230" s="8">
        <v>82.55</v>
      </c>
      <c r="H3230" s="6"/>
    </row>
    <row r="3231" spans="1:8">
      <c r="A3231" s="5">
        <v>3120</v>
      </c>
      <c r="B3231" s="6" t="str">
        <f>"李轶辉"</f>
        <v>李轶辉</v>
      </c>
      <c r="C3231" s="6" t="str">
        <f t="shared" si="149"/>
        <v>女</v>
      </c>
      <c r="D3231" s="6" t="str">
        <f>"202129032718"</f>
        <v>202129032718</v>
      </c>
      <c r="E3231" s="10" t="s">
        <v>27</v>
      </c>
      <c r="F3231" s="6" t="s">
        <v>11</v>
      </c>
      <c r="G3231" s="8">
        <v>79.2</v>
      </c>
      <c r="H3231" s="6"/>
    </row>
    <row r="3232" spans="1:8">
      <c r="A3232" s="5">
        <v>3082</v>
      </c>
      <c r="B3232" s="6" t="str">
        <f>"李晴"</f>
        <v>李晴</v>
      </c>
      <c r="C3232" s="6" t="str">
        <f t="shared" si="149"/>
        <v>女</v>
      </c>
      <c r="D3232" s="6" t="str">
        <f>"202129032719"</f>
        <v>202129032719</v>
      </c>
      <c r="E3232" s="10" t="s">
        <v>27</v>
      </c>
      <c r="F3232" s="6" t="s">
        <v>11</v>
      </c>
      <c r="G3232" s="8">
        <v>84.9</v>
      </c>
      <c r="H3232" s="6"/>
    </row>
    <row r="3233" spans="1:8">
      <c r="A3233" s="5">
        <v>2976</v>
      </c>
      <c r="B3233" s="6" t="str">
        <f>"彭修云"</f>
        <v>彭修云</v>
      </c>
      <c r="C3233" s="6" t="str">
        <f t="shared" si="149"/>
        <v>女</v>
      </c>
      <c r="D3233" s="6" t="str">
        <f>"202129032720"</f>
        <v>202129032720</v>
      </c>
      <c r="E3233" s="10" t="s">
        <v>27</v>
      </c>
      <c r="F3233" s="6" t="s">
        <v>11</v>
      </c>
      <c r="G3233" s="8">
        <v>89.55</v>
      </c>
      <c r="H3233" s="6"/>
    </row>
    <row r="3234" spans="1:8">
      <c r="A3234" s="5">
        <v>2879</v>
      </c>
      <c r="B3234" s="6" t="str">
        <f>"蒋文飞"</f>
        <v>蒋文飞</v>
      </c>
      <c r="C3234" s="6" t="str">
        <f>"男"</f>
        <v>男</v>
      </c>
      <c r="D3234" s="6" t="str">
        <f>"202129032721"</f>
        <v>202129032721</v>
      </c>
      <c r="E3234" s="10" t="s">
        <v>27</v>
      </c>
      <c r="F3234" s="6" t="s">
        <v>11</v>
      </c>
      <c r="G3234" s="8">
        <v>78.7</v>
      </c>
      <c r="H3234" s="6"/>
    </row>
    <row r="3235" spans="1:8">
      <c r="A3235" s="5">
        <v>3077</v>
      </c>
      <c r="B3235" s="6" t="str">
        <f>"王洁"</f>
        <v>王洁</v>
      </c>
      <c r="C3235" s="6" t="str">
        <f t="shared" ref="C3235:C3254" si="150">"女"</f>
        <v>女</v>
      </c>
      <c r="D3235" s="6" t="str">
        <f>"202129032722"</f>
        <v>202129032722</v>
      </c>
      <c r="E3235" s="10" t="s">
        <v>27</v>
      </c>
      <c r="F3235" s="6" t="s">
        <v>11</v>
      </c>
      <c r="G3235" s="8">
        <v>54.4</v>
      </c>
      <c r="H3235" s="6"/>
    </row>
    <row r="3236" spans="1:8">
      <c r="A3236" s="5">
        <v>3121</v>
      </c>
      <c r="B3236" s="6" t="str">
        <f>"贺姿媚"</f>
        <v>贺姿媚</v>
      </c>
      <c r="C3236" s="6" t="str">
        <f t="shared" si="150"/>
        <v>女</v>
      </c>
      <c r="D3236" s="6" t="str">
        <f>"202129032723"</f>
        <v>202129032723</v>
      </c>
      <c r="E3236" s="10" t="s">
        <v>27</v>
      </c>
      <c r="F3236" s="6" t="s">
        <v>11</v>
      </c>
      <c r="G3236" s="8">
        <v>90.3</v>
      </c>
      <c r="H3236" s="6"/>
    </row>
    <row r="3237" spans="1:8">
      <c r="A3237" s="5">
        <v>2899</v>
      </c>
      <c r="B3237" s="6" t="str">
        <f>"刘新莲"</f>
        <v>刘新莲</v>
      </c>
      <c r="C3237" s="6" t="str">
        <f t="shared" si="150"/>
        <v>女</v>
      </c>
      <c r="D3237" s="6" t="str">
        <f>"202129032724"</f>
        <v>202129032724</v>
      </c>
      <c r="E3237" s="10" t="s">
        <v>27</v>
      </c>
      <c r="F3237" s="6" t="s">
        <v>11</v>
      </c>
      <c r="G3237" s="8">
        <v>0</v>
      </c>
      <c r="H3237" s="9">
        <v>1</v>
      </c>
    </row>
    <row r="3238" spans="1:8">
      <c r="A3238" s="5">
        <v>2986</v>
      </c>
      <c r="B3238" s="6" t="str">
        <f>"孙敏敏"</f>
        <v>孙敏敏</v>
      </c>
      <c r="C3238" s="6" t="str">
        <f t="shared" si="150"/>
        <v>女</v>
      </c>
      <c r="D3238" s="6" t="str">
        <f>"202129032725"</f>
        <v>202129032725</v>
      </c>
      <c r="E3238" s="10" t="s">
        <v>27</v>
      </c>
      <c r="F3238" s="6" t="s">
        <v>11</v>
      </c>
      <c r="G3238" s="8">
        <v>87.55</v>
      </c>
      <c r="H3238" s="6"/>
    </row>
    <row r="3239" spans="1:8">
      <c r="A3239" s="5">
        <v>2761</v>
      </c>
      <c r="B3239" s="6" t="str">
        <f>"丁娟"</f>
        <v>丁娟</v>
      </c>
      <c r="C3239" s="6" t="str">
        <f t="shared" si="150"/>
        <v>女</v>
      </c>
      <c r="D3239" s="6" t="str">
        <f>"202129032726"</f>
        <v>202129032726</v>
      </c>
      <c r="E3239" s="10" t="s">
        <v>27</v>
      </c>
      <c r="F3239" s="6" t="s">
        <v>11</v>
      </c>
      <c r="G3239" s="8">
        <v>0</v>
      </c>
      <c r="H3239" s="9">
        <v>1</v>
      </c>
    </row>
    <row r="3240" spans="1:8">
      <c r="A3240" s="5">
        <v>2854</v>
      </c>
      <c r="B3240" s="6" t="str">
        <f>"刘海棠"</f>
        <v>刘海棠</v>
      </c>
      <c r="C3240" s="6" t="str">
        <f t="shared" si="150"/>
        <v>女</v>
      </c>
      <c r="D3240" s="6" t="str">
        <f>"202129032727"</f>
        <v>202129032727</v>
      </c>
      <c r="E3240" s="10" t="s">
        <v>27</v>
      </c>
      <c r="F3240" s="6" t="s">
        <v>11</v>
      </c>
      <c r="G3240" s="8">
        <v>84.3</v>
      </c>
      <c r="H3240" s="6"/>
    </row>
    <row r="3241" spans="1:8">
      <c r="A3241" s="5">
        <v>3008</v>
      </c>
      <c r="B3241" s="6" t="str">
        <f>"胡嘉怡"</f>
        <v>胡嘉怡</v>
      </c>
      <c r="C3241" s="6" t="str">
        <f t="shared" si="150"/>
        <v>女</v>
      </c>
      <c r="D3241" s="6" t="str">
        <f>"202129032728"</f>
        <v>202129032728</v>
      </c>
      <c r="E3241" s="10" t="s">
        <v>27</v>
      </c>
      <c r="F3241" s="6" t="s">
        <v>11</v>
      </c>
      <c r="G3241" s="8">
        <v>71.5</v>
      </c>
      <c r="H3241" s="6"/>
    </row>
    <row r="3242" spans="1:8">
      <c r="A3242" s="5">
        <v>3099</v>
      </c>
      <c r="B3242" s="6" t="str">
        <f>"雷玉慈"</f>
        <v>雷玉慈</v>
      </c>
      <c r="C3242" s="6" t="str">
        <f t="shared" si="150"/>
        <v>女</v>
      </c>
      <c r="D3242" s="6" t="str">
        <f>"202129032729"</f>
        <v>202129032729</v>
      </c>
      <c r="E3242" s="10" t="s">
        <v>27</v>
      </c>
      <c r="F3242" s="6" t="s">
        <v>11</v>
      </c>
      <c r="G3242" s="8">
        <v>90</v>
      </c>
      <c r="H3242" s="6"/>
    </row>
    <row r="3243" spans="1:8">
      <c r="A3243" s="5">
        <v>3142</v>
      </c>
      <c r="B3243" s="6" t="str">
        <f>"韩英"</f>
        <v>韩英</v>
      </c>
      <c r="C3243" s="6" t="str">
        <f t="shared" si="150"/>
        <v>女</v>
      </c>
      <c r="D3243" s="6" t="str">
        <f>"202129032730"</f>
        <v>202129032730</v>
      </c>
      <c r="E3243" s="10" t="s">
        <v>27</v>
      </c>
      <c r="F3243" s="6" t="s">
        <v>11</v>
      </c>
      <c r="G3243" s="8">
        <v>63.55</v>
      </c>
      <c r="H3243" s="6"/>
    </row>
    <row r="3244" spans="1:8">
      <c r="A3244" s="5">
        <v>2861</v>
      </c>
      <c r="B3244" s="6" t="str">
        <f>"余娟"</f>
        <v>余娟</v>
      </c>
      <c r="C3244" s="6" t="str">
        <f t="shared" si="150"/>
        <v>女</v>
      </c>
      <c r="D3244" s="6" t="str">
        <f>"202129032801"</f>
        <v>202129032801</v>
      </c>
      <c r="E3244" s="10" t="s">
        <v>27</v>
      </c>
      <c r="F3244" s="6" t="s">
        <v>11</v>
      </c>
      <c r="G3244" s="8">
        <v>0</v>
      </c>
      <c r="H3244" s="9">
        <v>1</v>
      </c>
    </row>
    <row r="3245" spans="1:8">
      <c r="A3245" s="5">
        <v>3251</v>
      </c>
      <c r="B3245" s="6" t="str">
        <f>"宁颜彬"</f>
        <v>宁颜彬</v>
      </c>
      <c r="C3245" s="6" t="str">
        <f t="shared" si="150"/>
        <v>女</v>
      </c>
      <c r="D3245" s="6" t="str">
        <f>"202129032802"</f>
        <v>202129032802</v>
      </c>
      <c r="E3245" s="10" t="s">
        <v>27</v>
      </c>
      <c r="F3245" s="6" t="s">
        <v>11</v>
      </c>
      <c r="G3245" s="8">
        <v>79.599999999999994</v>
      </c>
      <c r="H3245" s="6"/>
    </row>
    <row r="3246" spans="1:8">
      <c r="A3246" s="5">
        <v>2808</v>
      </c>
      <c r="B3246" s="6" t="str">
        <f>"肖兰芳"</f>
        <v>肖兰芳</v>
      </c>
      <c r="C3246" s="6" t="str">
        <f t="shared" si="150"/>
        <v>女</v>
      </c>
      <c r="D3246" s="6" t="str">
        <f>"202129032803"</f>
        <v>202129032803</v>
      </c>
      <c r="E3246" s="10" t="s">
        <v>27</v>
      </c>
      <c r="F3246" s="6" t="s">
        <v>11</v>
      </c>
      <c r="G3246" s="8">
        <v>56.85</v>
      </c>
      <c r="H3246" s="6"/>
    </row>
    <row r="3247" spans="1:8">
      <c r="A3247" s="5">
        <v>3129</v>
      </c>
      <c r="B3247" s="6" t="str">
        <f>"黄世丽"</f>
        <v>黄世丽</v>
      </c>
      <c r="C3247" s="6" t="str">
        <f t="shared" si="150"/>
        <v>女</v>
      </c>
      <c r="D3247" s="6" t="str">
        <f>"202129032804"</f>
        <v>202129032804</v>
      </c>
      <c r="E3247" s="10" t="s">
        <v>27</v>
      </c>
      <c r="F3247" s="6" t="s">
        <v>11</v>
      </c>
      <c r="G3247" s="8">
        <v>86.85</v>
      </c>
      <c r="H3247" s="6"/>
    </row>
    <row r="3248" spans="1:8">
      <c r="A3248" s="5">
        <v>2891</v>
      </c>
      <c r="B3248" s="6" t="str">
        <f>"吴丹清"</f>
        <v>吴丹清</v>
      </c>
      <c r="C3248" s="6" t="str">
        <f t="shared" si="150"/>
        <v>女</v>
      </c>
      <c r="D3248" s="6" t="str">
        <f>"202129032805"</f>
        <v>202129032805</v>
      </c>
      <c r="E3248" s="10" t="s">
        <v>27</v>
      </c>
      <c r="F3248" s="6" t="s">
        <v>11</v>
      </c>
      <c r="G3248" s="8">
        <v>89.5</v>
      </c>
      <c r="H3248" s="6"/>
    </row>
    <row r="3249" spans="1:8">
      <c r="A3249" s="5">
        <v>3116</v>
      </c>
      <c r="B3249" s="6" t="str">
        <f>"杨丹"</f>
        <v>杨丹</v>
      </c>
      <c r="C3249" s="6" t="str">
        <f t="shared" si="150"/>
        <v>女</v>
      </c>
      <c r="D3249" s="6" t="str">
        <f>"202129032806"</f>
        <v>202129032806</v>
      </c>
      <c r="E3249" s="10" t="s">
        <v>27</v>
      </c>
      <c r="F3249" s="6" t="s">
        <v>11</v>
      </c>
      <c r="G3249" s="8">
        <v>70.75</v>
      </c>
      <c r="H3249" s="6"/>
    </row>
    <row r="3250" spans="1:8">
      <c r="A3250" s="5">
        <v>3094</v>
      </c>
      <c r="B3250" s="6" t="str">
        <f>"申佳佳"</f>
        <v>申佳佳</v>
      </c>
      <c r="C3250" s="6" t="str">
        <f t="shared" si="150"/>
        <v>女</v>
      </c>
      <c r="D3250" s="6" t="str">
        <f>"202129032807"</f>
        <v>202129032807</v>
      </c>
      <c r="E3250" s="10" t="s">
        <v>27</v>
      </c>
      <c r="F3250" s="6" t="s">
        <v>11</v>
      </c>
      <c r="G3250" s="8">
        <v>88.3</v>
      </c>
      <c r="H3250" s="6"/>
    </row>
    <row r="3251" spans="1:8">
      <c r="A3251" s="5">
        <v>3210</v>
      </c>
      <c r="B3251" s="6" t="str">
        <f>"刘小娅"</f>
        <v>刘小娅</v>
      </c>
      <c r="C3251" s="6" t="str">
        <f t="shared" si="150"/>
        <v>女</v>
      </c>
      <c r="D3251" s="6" t="str">
        <f>"202129032808"</f>
        <v>202129032808</v>
      </c>
      <c r="E3251" s="10" t="s">
        <v>27</v>
      </c>
      <c r="F3251" s="6" t="s">
        <v>11</v>
      </c>
      <c r="G3251" s="8">
        <v>76.8</v>
      </c>
      <c r="H3251" s="6"/>
    </row>
    <row r="3252" spans="1:8">
      <c r="A3252" s="5">
        <v>2770</v>
      </c>
      <c r="B3252" s="6" t="str">
        <f>"周言群"</f>
        <v>周言群</v>
      </c>
      <c r="C3252" s="6" t="str">
        <f t="shared" si="150"/>
        <v>女</v>
      </c>
      <c r="D3252" s="6" t="str">
        <f>"202129032809"</f>
        <v>202129032809</v>
      </c>
      <c r="E3252" s="10" t="s">
        <v>27</v>
      </c>
      <c r="F3252" s="6" t="s">
        <v>11</v>
      </c>
      <c r="G3252" s="8">
        <v>0</v>
      </c>
      <c r="H3252" s="9">
        <v>1</v>
      </c>
    </row>
    <row r="3253" spans="1:8">
      <c r="A3253" s="5">
        <v>2864</v>
      </c>
      <c r="B3253" s="6" t="str">
        <f>"王玉芳"</f>
        <v>王玉芳</v>
      </c>
      <c r="C3253" s="6" t="str">
        <f t="shared" si="150"/>
        <v>女</v>
      </c>
      <c r="D3253" s="6" t="str">
        <f>"202129032810"</f>
        <v>202129032810</v>
      </c>
      <c r="E3253" s="10" t="s">
        <v>27</v>
      </c>
      <c r="F3253" s="6" t="s">
        <v>11</v>
      </c>
      <c r="G3253" s="8">
        <v>69.650000000000006</v>
      </c>
      <c r="H3253" s="6"/>
    </row>
    <row r="3254" spans="1:8">
      <c r="A3254" s="5">
        <v>3200</v>
      </c>
      <c r="B3254" s="6" t="str">
        <f>"马梅花"</f>
        <v>马梅花</v>
      </c>
      <c r="C3254" s="6" t="str">
        <f t="shared" si="150"/>
        <v>女</v>
      </c>
      <c r="D3254" s="6" t="str">
        <f>"202129032811"</f>
        <v>202129032811</v>
      </c>
      <c r="E3254" s="10" t="s">
        <v>27</v>
      </c>
      <c r="F3254" s="6" t="s">
        <v>11</v>
      </c>
      <c r="G3254" s="8">
        <v>71.55</v>
      </c>
      <c r="H3254" s="6"/>
    </row>
    <row r="3255" spans="1:8">
      <c r="A3255" s="5">
        <v>3068</v>
      </c>
      <c r="B3255" s="6" t="str">
        <f>"郭芳华"</f>
        <v>郭芳华</v>
      </c>
      <c r="C3255" s="6" t="str">
        <f>"男"</f>
        <v>男</v>
      </c>
      <c r="D3255" s="6" t="str">
        <f>"202129032812"</f>
        <v>202129032812</v>
      </c>
      <c r="E3255" s="10" t="s">
        <v>27</v>
      </c>
      <c r="F3255" s="6" t="s">
        <v>11</v>
      </c>
      <c r="G3255" s="8">
        <v>91.8</v>
      </c>
      <c r="H3255" s="6"/>
    </row>
    <row r="3256" spans="1:8">
      <c r="A3256" s="5">
        <v>3041</v>
      </c>
      <c r="B3256" s="6" t="str">
        <f>"唐婉婷"</f>
        <v>唐婉婷</v>
      </c>
      <c r="C3256" s="6" t="str">
        <f>"女"</f>
        <v>女</v>
      </c>
      <c r="D3256" s="6" t="str">
        <f>"202129032813"</f>
        <v>202129032813</v>
      </c>
      <c r="E3256" s="10" t="s">
        <v>27</v>
      </c>
      <c r="F3256" s="6" t="s">
        <v>11</v>
      </c>
      <c r="G3256" s="8">
        <v>68.900000000000006</v>
      </c>
      <c r="H3256" s="6"/>
    </row>
    <row r="3257" spans="1:8">
      <c r="A3257" s="5">
        <v>3183</v>
      </c>
      <c r="B3257" s="6" t="str">
        <f>"陈富强"</f>
        <v>陈富强</v>
      </c>
      <c r="C3257" s="6" t="str">
        <f>"男"</f>
        <v>男</v>
      </c>
      <c r="D3257" s="6" t="str">
        <f>"202129032814"</f>
        <v>202129032814</v>
      </c>
      <c r="E3257" s="10" t="s">
        <v>27</v>
      </c>
      <c r="F3257" s="6" t="s">
        <v>11</v>
      </c>
      <c r="G3257" s="8">
        <v>66.75</v>
      </c>
      <c r="H3257" s="6"/>
    </row>
    <row r="3258" spans="1:8">
      <c r="A3258" s="5">
        <v>2902</v>
      </c>
      <c r="B3258" s="6" t="str">
        <f>"罗娴"</f>
        <v>罗娴</v>
      </c>
      <c r="C3258" s="6" t="str">
        <f t="shared" ref="C3258:C3264" si="151">"女"</f>
        <v>女</v>
      </c>
      <c r="D3258" s="6" t="str">
        <f>"202129032815"</f>
        <v>202129032815</v>
      </c>
      <c r="E3258" s="10" t="s">
        <v>27</v>
      </c>
      <c r="F3258" s="6" t="s">
        <v>11</v>
      </c>
      <c r="G3258" s="8">
        <v>0</v>
      </c>
      <c r="H3258" s="9">
        <v>1</v>
      </c>
    </row>
    <row r="3259" spans="1:8">
      <c r="A3259" s="5">
        <v>2901</v>
      </c>
      <c r="B3259" s="6" t="str">
        <f>"邓圆圆"</f>
        <v>邓圆圆</v>
      </c>
      <c r="C3259" s="6" t="str">
        <f t="shared" si="151"/>
        <v>女</v>
      </c>
      <c r="D3259" s="6" t="str">
        <f>"202129032816"</f>
        <v>202129032816</v>
      </c>
      <c r="E3259" s="10" t="s">
        <v>27</v>
      </c>
      <c r="F3259" s="6" t="s">
        <v>11</v>
      </c>
      <c r="G3259" s="8">
        <v>86.1</v>
      </c>
      <c r="H3259" s="6"/>
    </row>
    <row r="3260" spans="1:8">
      <c r="A3260" s="5">
        <v>3000</v>
      </c>
      <c r="B3260" s="6" t="str">
        <f>"戴红安"</f>
        <v>戴红安</v>
      </c>
      <c r="C3260" s="6" t="str">
        <f t="shared" si="151"/>
        <v>女</v>
      </c>
      <c r="D3260" s="6" t="str">
        <f>"202129032817"</f>
        <v>202129032817</v>
      </c>
      <c r="E3260" s="10" t="s">
        <v>27</v>
      </c>
      <c r="F3260" s="6" t="s">
        <v>11</v>
      </c>
      <c r="G3260" s="8">
        <v>74.7</v>
      </c>
      <c r="H3260" s="6"/>
    </row>
    <row r="3261" spans="1:8">
      <c r="A3261" s="5">
        <v>3078</v>
      </c>
      <c r="B3261" s="6" t="str">
        <f>"王雯"</f>
        <v>王雯</v>
      </c>
      <c r="C3261" s="6" t="str">
        <f t="shared" si="151"/>
        <v>女</v>
      </c>
      <c r="D3261" s="6" t="str">
        <f>"202129032818"</f>
        <v>202129032818</v>
      </c>
      <c r="E3261" s="10" t="s">
        <v>27</v>
      </c>
      <c r="F3261" s="6" t="s">
        <v>11</v>
      </c>
      <c r="G3261" s="8">
        <v>62.25</v>
      </c>
      <c r="H3261" s="6"/>
    </row>
    <row r="3262" spans="1:8">
      <c r="A3262" s="5">
        <v>3074</v>
      </c>
      <c r="B3262" s="6" t="str">
        <f>"卿丽"</f>
        <v>卿丽</v>
      </c>
      <c r="C3262" s="6" t="str">
        <f t="shared" si="151"/>
        <v>女</v>
      </c>
      <c r="D3262" s="6" t="str">
        <f>"202129032819"</f>
        <v>202129032819</v>
      </c>
      <c r="E3262" s="10" t="s">
        <v>27</v>
      </c>
      <c r="F3262" s="6" t="s">
        <v>11</v>
      </c>
      <c r="G3262" s="8">
        <v>75.900000000000006</v>
      </c>
      <c r="H3262" s="6"/>
    </row>
    <row r="3263" spans="1:8">
      <c r="A3263" s="5">
        <v>3164</v>
      </c>
      <c r="B3263" s="6" t="str">
        <f>"黄珊"</f>
        <v>黄珊</v>
      </c>
      <c r="C3263" s="6" t="str">
        <f t="shared" si="151"/>
        <v>女</v>
      </c>
      <c r="D3263" s="6" t="str">
        <f>"202129032820"</f>
        <v>202129032820</v>
      </c>
      <c r="E3263" s="10" t="s">
        <v>27</v>
      </c>
      <c r="F3263" s="6" t="s">
        <v>11</v>
      </c>
      <c r="G3263" s="8">
        <v>49.35</v>
      </c>
      <c r="H3263" s="6"/>
    </row>
    <row r="3264" spans="1:8">
      <c r="A3264" s="5">
        <v>2800</v>
      </c>
      <c r="B3264" s="6" t="str">
        <f>"朱英姿"</f>
        <v>朱英姿</v>
      </c>
      <c r="C3264" s="6" t="str">
        <f t="shared" si="151"/>
        <v>女</v>
      </c>
      <c r="D3264" s="6" t="str">
        <f>"202129032821"</f>
        <v>202129032821</v>
      </c>
      <c r="E3264" s="10" t="s">
        <v>27</v>
      </c>
      <c r="F3264" s="6" t="s">
        <v>11</v>
      </c>
      <c r="G3264" s="8">
        <v>73.7</v>
      </c>
      <c r="H3264" s="6"/>
    </row>
    <row r="3265" spans="1:8">
      <c r="A3265" s="5">
        <v>2836</v>
      </c>
      <c r="B3265" s="6" t="str">
        <f>"颜思千"</f>
        <v>颜思千</v>
      </c>
      <c r="C3265" s="6" t="str">
        <f>"男"</f>
        <v>男</v>
      </c>
      <c r="D3265" s="6" t="str">
        <f>"202129032822"</f>
        <v>202129032822</v>
      </c>
      <c r="E3265" s="10" t="s">
        <v>27</v>
      </c>
      <c r="F3265" s="6" t="s">
        <v>11</v>
      </c>
      <c r="G3265" s="8">
        <v>49.7</v>
      </c>
      <c r="H3265" s="6"/>
    </row>
    <row r="3266" spans="1:8">
      <c r="A3266" s="5">
        <v>3153</v>
      </c>
      <c r="B3266" s="6" t="str">
        <f>"易霞"</f>
        <v>易霞</v>
      </c>
      <c r="C3266" s="6" t="str">
        <f>"女"</f>
        <v>女</v>
      </c>
      <c r="D3266" s="6" t="str">
        <f>"202129032823"</f>
        <v>202129032823</v>
      </c>
      <c r="E3266" s="10" t="s">
        <v>27</v>
      </c>
      <c r="F3266" s="6" t="s">
        <v>11</v>
      </c>
      <c r="G3266" s="8">
        <v>66.55</v>
      </c>
      <c r="H3266" s="6"/>
    </row>
    <row r="3267" spans="1:8">
      <c r="A3267" s="5">
        <v>3222</v>
      </c>
      <c r="B3267" s="6" t="str">
        <f>"米琪"</f>
        <v>米琪</v>
      </c>
      <c r="C3267" s="6" t="str">
        <f>"女"</f>
        <v>女</v>
      </c>
      <c r="D3267" s="6" t="str">
        <f>"202129032824"</f>
        <v>202129032824</v>
      </c>
      <c r="E3267" s="10" t="s">
        <v>27</v>
      </c>
      <c r="F3267" s="6" t="s">
        <v>11</v>
      </c>
      <c r="G3267" s="8">
        <v>82.1</v>
      </c>
      <c r="H3267" s="6"/>
    </row>
    <row r="3268" spans="1:8">
      <c r="A3268" s="5">
        <v>3254</v>
      </c>
      <c r="B3268" s="6" t="str">
        <f>"莫娜"</f>
        <v>莫娜</v>
      </c>
      <c r="C3268" s="6" t="str">
        <f>"女"</f>
        <v>女</v>
      </c>
      <c r="D3268" s="6" t="str">
        <f>"202129032825"</f>
        <v>202129032825</v>
      </c>
      <c r="E3268" s="10" t="s">
        <v>27</v>
      </c>
      <c r="F3268" s="6" t="s">
        <v>11</v>
      </c>
      <c r="G3268" s="8">
        <v>71.849999999999994</v>
      </c>
      <c r="H3268" s="6"/>
    </row>
    <row r="3269" spans="1:8">
      <c r="A3269" s="5">
        <v>2929</v>
      </c>
      <c r="B3269" s="6" t="str">
        <f>"尹冬梅"</f>
        <v>尹冬梅</v>
      </c>
      <c r="C3269" s="6" t="str">
        <f>"女"</f>
        <v>女</v>
      </c>
      <c r="D3269" s="6" t="str">
        <f>"202129032826"</f>
        <v>202129032826</v>
      </c>
      <c r="E3269" s="10" t="s">
        <v>27</v>
      </c>
      <c r="F3269" s="6" t="s">
        <v>11</v>
      </c>
      <c r="G3269" s="8">
        <v>89.1</v>
      </c>
      <c r="H3269" s="6"/>
    </row>
    <row r="3270" spans="1:8">
      <c r="A3270" s="5">
        <v>3113</v>
      </c>
      <c r="B3270" s="6" t="str">
        <f>"周广琳"</f>
        <v>周广琳</v>
      </c>
      <c r="C3270" s="6" t="str">
        <f>"男"</f>
        <v>男</v>
      </c>
      <c r="D3270" s="6" t="str">
        <f>"202129032827"</f>
        <v>202129032827</v>
      </c>
      <c r="E3270" s="10" t="s">
        <v>27</v>
      </c>
      <c r="F3270" s="6" t="s">
        <v>11</v>
      </c>
      <c r="G3270" s="8">
        <v>60.3</v>
      </c>
      <c r="H3270" s="6"/>
    </row>
    <row r="3271" spans="1:8">
      <c r="A3271" s="5">
        <v>3097</v>
      </c>
      <c r="B3271" s="6" t="str">
        <f>"黄瑶"</f>
        <v>黄瑶</v>
      </c>
      <c r="C3271" s="6" t="str">
        <f>"女"</f>
        <v>女</v>
      </c>
      <c r="D3271" s="6" t="str">
        <f>"202129032828"</f>
        <v>202129032828</v>
      </c>
      <c r="E3271" s="10" t="s">
        <v>27</v>
      </c>
      <c r="F3271" s="6" t="s">
        <v>11</v>
      </c>
      <c r="G3271" s="8">
        <v>74.55</v>
      </c>
      <c r="H3271" s="6"/>
    </row>
    <row r="3272" spans="1:8">
      <c r="A3272" s="5">
        <v>3107</v>
      </c>
      <c r="B3272" s="6" t="str">
        <f>"谢卓"</f>
        <v>谢卓</v>
      </c>
      <c r="C3272" s="6" t="str">
        <f>"女"</f>
        <v>女</v>
      </c>
      <c r="D3272" s="6" t="str">
        <f>"202129032829"</f>
        <v>202129032829</v>
      </c>
      <c r="E3272" s="10" t="s">
        <v>27</v>
      </c>
      <c r="F3272" s="6" t="s">
        <v>11</v>
      </c>
      <c r="G3272" s="8">
        <v>85.35</v>
      </c>
      <c r="H3272" s="6"/>
    </row>
    <row r="3273" spans="1:8">
      <c r="A3273" s="5">
        <v>3049</v>
      </c>
      <c r="B3273" s="6" t="str">
        <f>"刘芝榕"</f>
        <v>刘芝榕</v>
      </c>
      <c r="C3273" s="6" t="str">
        <f>"女"</f>
        <v>女</v>
      </c>
      <c r="D3273" s="6" t="str">
        <f>"202129032830"</f>
        <v>202129032830</v>
      </c>
      <c r="E3273" s="10" t="s">
        <v>27</v>
      </c>
      <c r="F3273" s="6" t="s">
        <v>11</v>
      </c>
      <c r="G3273" s="8">
        <v>87.1</v>
      </c>
      <c r="H3273" s="6"/>
    </row>
    <row r="3274" spans="1:8">
      <c r="A3274" s="5">
        <v>2754</v>
      </c>
      <c r="B3274" s="6" t="str">
        <f>"彭兆惠"</f>
        <v>彭兆惠</v>
      </c>
      <c r="C3274" s="6" t="str">
        <f>"男"</f>
        <v>男</v>
      </c>
      <c r="D3274" s="6" t="str">
        <f>"202129032901"</f>
        <v>202129032901</v>
      </c>
      <c r="E3274" s="10" t="s">
        <v>27</v>
      </c>
      <c r="F3274" s="6" t="s">
        <v>11</v>
      </c>
      <c r="G3274" s="8">
        <v>77.2</v>
      </c>
      <c r="H3274" s="6"/>
    </row>
    <row r="3275" spans="1:8">
      <c r="A3275" s="5">
        <v>3232</v>
      </c>
      <c r="B3275" s="6" t="str">
        <f>"杨恢光"</f>
        <v>杨恢光</v>
      </c>
      <c r="C3275" s="6" t="str">
        <f>"男"</f>
        <v>男</v>
      </c>
      <c r="D3275" s="6" t="str">
        <f>"202129032902"</f>
        <v>202129032902</v>
      </c>
      <c r="E3275" s="10" t="s">
        <v>27</v>
      </c>
      <c r="F3275" s="6" t="s">
        <v>11</v>
      </c>
      <c r="G3275" s="8">
        <v>64.3</v>
      </c>
      <c r="H3275" s="6"/>
    </row>
    <row r="3276" spans="1:8">
      <c r="A3276" s="5">
        <v>3180</v>
      </c>
      <c r="B3276" s="6" t="str">
        <f>"朱静"</f>
        <v>朱静</v>
      </c>
      <c r="C3276" s="6" t="str">
        <f t="shared" ref="C3276:C3281" si="152">"女"</f>
        <v>女</v>
      </c>
      <c r="D3276" s="6" t="str">
        <f>"202129032903"</f>
        <v>202129032903</v>
      </c>
      <c r="E3276" s="10" t="s">
        <v>27</v>
      </c>
      <c r="F3276" s="6" t="s">
        <v>11</v>
      </c>
      <c r="G3276" s="8">
        <v>65.5</v>
      </c>
      <c r="H3276" s="6"/>
    </row>
    <row r="3277" spans="1:8">
      <c r="A3277" s="5">
        <v>2915</v>
      </c>
      <c r="B3277" s="6" t="str">
        <f>"王振艳"</f>
        <v>王振艳</v>
      </c>
      <c r="C3277" s="6" t="str">
        <f t="shared" si="152"/>
        <v>女</v>
      </c>
      <c r="D3277" s="6" t="str">
        <f>"202129032904"</f>
        <v>202129032904</v>
      </c>
      <c r="E3277" s="10" t="s">
        <v>27</v>
      </c>
      <c r="F3277" s="6" t="s">
        <v>11</v>
      </c>
      <c r="G3277" s="8">
        <v>63.85</v>
      </c>
      <c r="H3277" s="6"/>
    </row>
    <row r="3278" spans="1:8">
      <c r="A3278" s="5">
        <v>2839</v>
      </c>
      <c r="B3278" s="6" t="str">
        <f>"朱耘蓁"</f>
        <v>朱耘蓁</v>
      </c>
      <c r="C3278" s="6" t="str">
        <f t="shared" si="152"/>
        <v>女</v>
      </c>
      <c r="D3278" s="6" t="str">
        <f>"202129032905"</f>
        <v>202129032905</v>
      </c>
      <c r="E3278" s="10" t="s">
        <v>27</v>
      </c>
      <c r="F3278" s="6" t="s">
        <v>11</v>
      </c>
      <c r="G3278" s="8">
        <v>68.849999999999994</v>
      </c>
      <c r="H3278" s="6"/>
    </row>
    <row r="3279" spans="1:8">
      <c r="A3279" s="5">
        <v>3141</v>
      </c>
      <c r="B3279" s="6" t="str">
        <f>"石佳灵"</f>
        <v>石佳灵</v>
      </c>
      <c r="C3279" s="6" t="str">
        <f t="shared" si="152"/>
        <v>女</v>
      </c>
      <c r="D3279" s="6" t="str">
        <f>"202129032906"</f>
        <v>202129032906</v>
      </c>
      <c r="E3279" s="10" t="s">
        <v>27</v>
      </c>
      <c r="F3279" s="6" t="s">
        <v>11</v>
      </c>
      <c r="G3279" s="8">
        <v>83.6</v>
      </c>
      <c r="H3279" s="6"/>
    </row>
    <row r="3280" spans="1:8">
      <c r="A3280" s="5">
        <v>3207</v>
      </c>
      <c r="B3280" s="6" t="str">
        <f>"李权真"</f>
        <v>李权真</v>
      </c>
      <c r="C3280" s="6" t="str">
        <f t="shared" si="152"/>
        <v>女</v>
      </c>
      <c r="D3280" s="6" t="str">
        <f>"202129032907"</f>
        <v>202129032907</v>
      </c>
      <c r="E3280" s="10" t="s">
        <v>27</v>
      </c>
      <c r="F3280" s="6" t="s">
        <v>11</v>
      </c>
      <c r="G3280" s="8">
        <v>63.95</v>
      </c>
      <c r="H3280" s="6"/>
    </row>
    <row r="3281" spans="1:8">
      <c r="A3281" s="5">
        <v>2968</v>
      </c>
      <c r="B3281" s="6" t="str">
        <f>"谢能"</f>
        <v>谢能</v>
      </c>
      <c r="C3281" s="6" t="str">
        <f t="shared" si="152"/>
        <v>女</v>
      </c>
      <c r="D3281" s="6" t="str">
        <f>"202129032908"</f>
        <v>202129032908</v>
      </c>
      <c r="E3281" s="10" t="s">
        <v>27</v>
      </c>
      <c r="F3281" s="6" t="s">
        <v>11</v>
      </c>
      <c r="G3281" s="8">
        <v>86.3</v>
      </c>
      <c r="H3281" s="6"/>
    </row>
    <row r="3282" spans="1:8">
      <c r="A3282" s="5">
        <v>2922</v>
      </c>
      <c r="B3282" s="6" t="str">
        <f>"屈济勇"</f>
        <v>屈济勇</v>
      </c>
      <c r="C3282" s="6" t="str">
        <f>"男"</f>
        <v>男</v>
      </c>
      <c r="D3282" s="6" t="str">
        <f>"202129032909"</f>
        <v>202129032909</v>
      </c>
      <c r="E3282" s="10" t="s">
        <v>27</v>
      </c>
      <c r="F3282" s="6" t="s">
        <v>11</v>
      </c>
      <c r="G3282" s="8">
        <v>93</v>
      </c>
      <c r="H3282" s="6"/>
    </row>
    <row r="3283" spans="1:8">
      <c r="A3283" s="5">
        <v>3152</v>
      </c>
      <c r="B3283" s="6" t="str">
        <f>"邓满伶"</f>
        <v>邓满伶</v>
      </c>
      <c r="C3283" s="6" t="str">
        <f>"女"</f>
        <v>女</v>
      </c>
      <c r="D3283" s="6" t="str">
        <f>"202129032910"</f>
        <v>202129032910</v>
      </c>
      <c r="E3283" s="10" t="s">
        <v>27</v>
      </c>
      <c r="F3283" s="6" t="s">
        <v>11</v>
      </c>
      <c r="G3283" s="8">
        <v>87.85</v>
      </c>
      <c r="H3283" s="6"/>
    </row>
    <row r="3284" spans="1:8">
      <c r="A3284" s="5">
        <v>2843</v>
      </c>
      <c r="B3284" s="6" t="str">
        <f>"王珊"</f>
        <v>王珊</v>
      </c>
      <c r="C3284" s="6" t="str">
        <f>"女"</f>
        <v>女</v>
      </c>
      <c r="D3284" s="6" t="str">
        <f>"202129032911"</f>
        <v>202129032911</v>
      </c>
      <c r="E3284" s="10" t="s">
        <v>27</v>
      </c>
      <c r="F3284" s="6" t="s">
        <v>11</v>
      </c>
      <c r="G3284" s="8">
        <v>71.45</v>
      </c>
      <c r="H3284" s="6"/>
    </row>
    <row r="3285" spans="1:8">
      <c r="A3285" s="5">
        <v>3134</v>
      </c>
      <c r="B3285" s="6" t="str">
        <f>"何长益"</f>
        <v>何长益</v>
      </c>
      <c r="C3285" s="6" t="str">
        <f>"男"</f>
        <v>男</v>
      </c>
      <c r="D3285" s="6" t="str">
        <f>"202129032912"</f>
        <v>202129032912</v>
      </c>
      <c r="E3285" s="10" t="s">
        <v>27</v>
      </c>
      <c r="F3285" s="6" t="s">
        <v>11</v>
      </c>
      <c r="G3285" s="8">
        <v>0</v>
      </c>
      <c r="H3285" s="9">
        <v>1</v>
      </c>
    </row>
    <row r="3286" spans="1:8">
      <c r="A3286" s="5">
        <v>3159</v>
      </c>
      <c r="B3286" s="6" t="str">
        <f>"刘世茹"</f>
        <v>刘世茹</v>
      </c>
      <c r="C3286" s="6" t="str">
        <f>"女"</f>
        <v>女</v>
      </c>
      <c r="D3286" s="6" t="str">
        <f>"202129032913"</f>
        <v>202129032913</v>
      </c>
      <c r="E3286" s="10" t="s">
        <v>27</v>
      </c>
      <c r="F3286" s="6" t="s">
        <v>11</v>
      </c>
      <c r="G3286" s="8">
        <v>81.2</v>
      </c>
      <c r="H3286" s="6"/>
    </row>
    <row r="3287" spans="1:8">
      <c r="A3287" s="5">
        <v>2782</v>
      </c>
      <c r="B3287" s="6" t="str">
        <f>"邓琴琴"</f>
        <v>邓琴琴</v>
      </c>
      <c r="C3287" s="6" t="str">
        <f>"男"</f>
        <v>男</v>
      </c>
      <c r="D3287" s="6" t="str">
        <f>"202129032914"</f>
        <v>202129032914</v>
      </c>
      <c r="E3287" s="10" t="s">
        <v>27</v>
      </c>
      <c r="F3287" s="6" t="s">
        <v>11</v>
      </c>
      <c r="G3287" s="8">
        <v>84.05</v>
      </c>
      <c r="H3287" s="6"/>
    </row>
    <row r="3288" spans="1:8">
      <c r="A3288" s="5">
        <v>2977</v>
      </c>
      <c r="B3288" s="6" t="str">
        <f>"杨芳艳"</f>
        <v>杨芳艳</v>
      </c>
      <c r="C3288" s="6" t="str">
        <f t="shared" ref="C3288:C3294" si="153">"女"</f>
        <v>女</v>
      </c>
      <c r="D3288" s="6" t="str">
        <f>"202129032915"</f>
        <v>202129032915</v>
      </c>
      <c r="E3288" s="10" t="s">
        <v>27</v>
      </c>
      <c r="F3288" s="6" t="s">
        <v>11</v>
      </c>
      <c r="G3288" s="8">
        <v>64.599999999999994</v>
      </c>
      <c r="H3288" s="6"/>
    </row>
    <row r="3289" spans="1:8">
      <c r="A3289" s="5">
        <v>3128</v>
      </c>
      <c r="B3289" s="6" t="str">
        <f>"罗孟倩"</f>
        <v>罗孟倩</v>
      </c>
      <c r="C3289" s="6" t="str">
        <f t="shared" si="153"/>
        <v>女</v>
      </c>
      <c r="D3289" s="6" t="str">
        <f>"202129032916"</f>
        <v>202129032916</v>
      </c>
      <c r="E3289" s="10" t="s">
        <v>27</v>
      </c>
      <c r="F3289" s="6" t="s">
        <v>11</v>
      </c>
      <c r="G3289" s="8">
        <v>79.05</v>
      </c>
      <c r="H3289" s="6"/>
    </row>
    <row r="3290" spans="1:8">
      <c r="A3290" s="5">
        <v>3255</v>
      </c>
      <c r="B3290" s="6" t="str">
        <f>"罗漂漂"</f>
        <v>罗漂漂</v>
      </c>
      <c r="C3290" s="6" t="str">
        <f t="shared" si="153"/>
        <v>女</v>
      </c>
      <c r="D3290" s="6" t="str">
        <f>"202129032917"</f>
        <v>202129032917</v>
      </c>
      <c r="E3290" s="10" t="s">
        <v>27</v>
      </c>
      <c r="F3290" s="6" t="s">
        <v>11</v>
      </c>
      <c r="G3290" s="8">
        <v>58.55</v>
      </c>
      <c r="H3290" s="6"/>
    </row>
    <row r="3291" spans="1:8">
      <c r="A3291" s="5">
        <v>2978</v>
      </c>
      <c r="B3291" s="6" t="str">
        <f>"刘翠兰"</f>
        <v>刘翠兰</v>
      </c>
      <c r="C3291" s="6" t="str">
        <f t="shared" si="153"/>
        <v>女</v>
      </c>
      <c r="D3291" s="6" t="str">
        <f>"202129032918"</f>
        <v>202129032918</v>
      </c>
      <c r="E3291" s="10" t="s">
        <v>27</v>
      </c>
      <c r="F3291" s="6" t="s">
        <v>11</v>
      </c>
      <c r="G3291" s="8">
        <v>75.05</v>
      </c>
      <c r="H3291" s="6"/>
    </row>
    <row r="3292" spans="1:8">
      <c r="A3292" s="5">
        <v>2889</v>
      </c>
      <c r="B3292" s="6" t="str">
        <f>"刘毓英"</f>
        <v>刘毓英</v>
      </c>
      <c r="C3292" s="6" t="str">
        <f t="shared" si="153"/>
        <v>女</v>
      </c>
      <c r="D3292" s="6" t="str">
        <f>"202129032919"</f>
        <v>202129032919</v>
      </c>
      <c r="E3292" s="10" t="s">
        <v>27</v>
      </c>
      <c r="F3292" s="6" t="s">
        <v>11</v>
      </c>
      <c r="G3292" s="8">
        <v>66.7</v>
      </c>
      <c r="H3292" s="6"/>
    </row>
    <row r="3293" spans="1:8">
      <c r="A3293" s="5">
        <v>3136</v>
      </c>
      <c r="B3293" s="6" t="str">
        <f>"刘瑶"</f>
        <v>刘瑶</v>
      </c>
      <c r="C3293" s="6" t="str">
        <f t="shared" si="153"/>
        <v>女</v>
      </c>
      <c r="D3293" s="6" t="str">
        <f>"202129032920"</f>
        <v>202129032920</v>
      </c>
      <c r="E3293" s="10" t="s">
        <v>27</v>
      </c>
      <c r="F3293" s="6" t="s">
        <v>11</v>
      </c>
      <c r="G3293" s="8">
        <v>80.150000000000006</v>
      </c>
      <c r="H3293" s="6"/>
    </row>
    <row r="3294" spans="1:8">
      <c r="A3294" s="5">
        <v>2932</v>
      </c>
      <c r="B3294" s="6" t="str">
        <f>"唐晶瑶"</f>
        <v>唐晶瑶</v>
      </c>
      <c r="C3294" s="6" t="str">
        <f t="shared" si="153"/>
        <v>女</v>
      </c>
      <c r="D3294" s="6" t="str">
        <f>"202129032921"</f>
        <v>202129032921</v>
      </c>
      <c r="E3294" s="10" t="s">
        <v>27</v>
      </c>
      <c r="F3294" s="6" t="s">
        <v>11</v>
      </c>
      <c r="G3294" s="8">
        <v>90.25</v>
      </c>
      <c r="H3294" s="6"/>
    </row>
    <row r="3295" spans="1:8">
      <c r="A3295" s="5">
        <v>2876</v>
      </c>
      <c r="B3295" s="6" t="str">
        <f>"徐开喜"</f>
        <v>徐开喜</v>
      </c>
      <c r="C3295" s="6" t="str">
        <f>"男"</f>
        <v>男</v>
      </c>
      <c r="D3295" s="6" t="str">
        <f>"202129032922"</f>
        <v>202129032922</v>
      </c>
      <c r="E3295" s="10" t="s">
        <v>27</v>
      </c>
      <c r="F3295" s="6" t="s">
        <v>11</v>
      </c>
      <c r="G3295" s="8">
        <v>79.400000000000006</v>
      </c>
      <c r="H3295" s="6"/>
    </row>
    <row r="3296" spans="1:8">
      <c r="A3296" s="5">
        <v>3259</v>
      </c>
      <c r="B3296" s="6" t="str">
        <f>"肖杰"</f>
        <v>肖杰</v>
      </c>
      <c r="C3296" s="6" t="str">
        <f>"男"</f>
        <v>男</v>
      </c>
      <c r="D3296" s="6" t="str">
        <f>"202129032923"</f>
        <v>202129032923</v>
      </c>
      <c r="E3296" s="10" t="s">
        <v>27</v>
      </c>
      <c r="F3296" s="6" t="s">
        <v>11</v>
      </c>
      <c r="G3296" s="8">
        <v>54.5</v>
      </c>
      <c r="H3296" s="6"/>
    </row>
    <row r="3297" spans="1:8">
      <c r="A3297" s="5">
        <v>2777</v>
      </c>
      <c r="B3297" s="6" t="str">
        <f>"文孟林"</f>
        <v>文孟林</v>
      </c>
      <c r="C3297" s="6" t="str">
        <f>"男"</f>
        <v>男</v>
      </c>
      <c r="D3297" s="6" t="str">
        <f>"202129032924"</f>
        <v>202129032924</v>
      </c>
      <c r="E3297" s="10" t="s">
        <v>27</v>
      </c>
      <c r="F3297" s="6" t="s">
        <v>11</v>
      </c>
      <c r="G3297" s="8">
        <v>82.6</v>
      </c>
      <c r="H3297" s="6"/>
    </row>
    <row r="3298" spans="1:8">
      <c r="A3298" s="5">
        <v>2992</v>
      </c>
      <c r="B3298" s="6" t="str">
        <f>"朱锦玉"</f>
        <v>朱锦玉</v>
      </c>
      <c r="C3298" s="6" t="str">
        <f>"女"</f>
        <v>女</v>
      </c>
      <c r="D3298" s="6" t="str">
        <f>"202129032925"</f>
        <v>202129032925</v>
      </c>
      <c r="E3298" s="10" t="s">
        <v>27</v>
      </c>
      <c r="F3298" s="6" t="s">
        <v>11</v>
      </c>
      <c r="G3298" s="8">
        <v>71.650000000000006</v>
      </c>
      <c r="H3298" s="6"/>
    </row>
    <row r="3299" spans="1:8">
      <c r="A3299" s="5">
        <v>2830</v>
      </c>
      <c r="B3299" s="6" t="str">
        <f>"段伟"</f>
        <v>段伟</v>
      </c>
      <c r="C3299" s="6" t="str">
        <f>"男"</f>
        <v>男</v>
      </c>
      <c r="D3299" s="6" t="str">
        <f>"202129032926"</f>
        <v>202129032926</v>
      </c>
      <c r="E3299" s="10" t="s">
        <v>27</v>
      </c>
      <c r="F3299" s="6" t="s">
        <v>11</v>
      </c>
      <c r="G3299" s="8">
        <v>78.900000000000006</v>
      </c>
      <c r="H3299" s="6"/>
    </row>
    <row r="3300" spans="1:8">
      <c r="A3300" s="5">
        <v>3092</v>
      </c>
      <c r="B3300" s="6" t="str">
        <f>"何洋"</f>
        <v>何洋</v>
      </c>
      <c r="C3300" s="6" t="str">
        <f>"女"</f>
        <v>女</v>
      </c>
      <c r="D3300" s="6" t="str">
        <f>"202129032927"</f>
        <v>202129032927</v>
      </c>
      <c r="E3300" s="10" t="s">
        <v>27</v>
      </c>
      <c r="F3300" s="6" t="s">
        <v>11</v>
      </c>
      <c r="G3300" s="8">
        <v>39.200000000000003</v>
      </c>
      <c r="H3300" s="6"/>
    </row>
    <row r="3301" spans="1:8">
      <c r="A3301" s="5">
        <v>3122</v>
      </c>
      <c r="B3301" s="6" t="str">
        <f>"曾香玲"</f>
        <v>曾香玲</v>
      </c>
      <c r="C3301" s="6" t="str">
        <f>"女"</f>
        <v>女</v>
      </c>
      <c r="D3301" s="6" t="str">
        <f>"202129032928"</f>
        <v>202129032928</v>
      </c>
      <c r="E3301" s="10" t="s">
        <v>27</v>
      </c>
      <c r="F3301" s="6" t="s">
        <v>11</v>
      </c>
      <c r="G3301" s="8">
        <v>81</v>
      </c>
      <c r="H3301" s="6"/>
    </row>
    <row r="3302" spans="1:8">
      <c r="A3302" s="5">
        <v>3146</v>
      </c>
      <c r="B3302" s="6" t="str">
        <f>"周文丹"</f>
        <v>周文丹</v>
      </c>
      <c r="C3302" s="6" t="str">
        <f>"女"</f>
        <v>女</v>
      </c>
      <c r="D3302" s="6" t="str">
        <f>"202129032929"</f>
        <v>202129032929</v>
      </c>
      <c r="E3302" s="10" t="s">
        <v>27</v>
      </c>
      <c r="F3302" s="6" t="s">
        <v>11</v>
      </c>
      <c r="G3302" s="8">
        <v>81.150000000000006</v>
      </c>
      <c r="H3302" s="6"/>
    </row>
    <row r="3303" spans="1:8">
      <c r="A3303" s="5">
        <v>2805</v>
      </c>
      <c r="B3303" s="6" t="str">
        <f>"谭飞"</f>
        <v>谭飞</v>
      </c>
      <c r="C3303" s="6" t="str">
        <f>"男"</f>
        <v>男</v>
      </c>
      <c r="D3303" s="6" t="str">
        <f>"202129032930"</f>
        <v>202129032930</v>
      </c>
      <c r="E3303" s="10" t="s">
        <v>27</v>
      </c>
      <c r="F3303" s="6" t="s">
        <v>11</v>
      </c>
      <c r="G3303" s="8">
        <v>79.099999999999994</v>
      </c>
      <c r="H3303" s="6"/>
    </row>
    <row r="3304" spans="1:8">
      <c r="A3304" s="5">
        <v>2895</v>
      </c>
      <c r="B3304" s="6" t="str">
        <f>"覃玲"</f>
        <v>覃玲</v>
      </c>
      <c r="C3304" s="6" t="str">
        <f t="shared" ref="C3304:C3313" si="154">"女"</f>
        <v>女</v>
      </c>
      <c r="D3304" s="6" t="str">
        <f>"202129033001"</f>
        <v>202129033001</v>
      </c>
      <c r="E3304" s="10" t="s">
        <v>27</v>
      </c>
      <c r="F3304" s="6" t="s">
        <v>11</v>
      </c>
      <c r="G3304" s="8">
        <v>90.5</v>
      </c>
      <c r="H3304" s="6"/>
    </row>
    <row r="3305" spans="1:8">
      <c r="A3305" s="5">
        <v>2779</v>
      </c>
      <c r="B3305" s="6" t="str">
        <f>"陆苗"</f>
        <v>陆苗</v>
      </c>
      <c r="C3305" s="6" t="str">
        <f t="shared" si="154"/>
        <v>女</v>
      </c>
      <c r="D3305" s="6" t="str">
        <f>"202129033002"</f>
        <v>202129033002</v>
      </c>
      <c r="E3305" s="10" t="s">
        <v>27</v>
      </c>
      <c r="F3305" s="6" t="s">
        <v>11</v>
      </c>
      <c r="G3305" s="8">
        <v>73.45</v>
      </c>
      <c r="H3305" s="6"/>
    </row>
    <row r="3306" spans="1:8">
      <c r="A3306" s="5">
        <v>3233</v>
      </c>
      <c r="B3306" s="6" t="str">
        <f>"池雄英"</f>
        <v>池雄英</v>
      </c>
      <c r="C3306" s="6" t="str">
        <f t="shared" si="154"/>
        <v>女</v>
      </c>
      <c r="D3306" s="6" t="str">
        <f>"202129033003"</f>
        <v>202129033003</v>
      </c>
      <c r="E3306" s="10" t="s">
        <v>27</v>
      </c>
      <c r="F3306" s="6" t="s">
        <v>11</v>
      </c>
      <c r="G3306" s="8">
        <v>48.25</v>
      </c>
      <c r="H3306" s="6"/>
    </row>
    <row r="3307" spans="1:8">
      <c r="A3307" s="5">
        <v>3158</v>
      </c>
      <c r="B3307" s="6" t="str">
        <f>"唐奇慧"</f>
        <v>唐奇慧</v>
      </c>
      <c r="C3307" s="6" t="str">
        <f t="shared" si="154"/>
        <v>女</v>
      </c>
      <c r="D3307" s="6" t="str">
        <f>"202129033004"</f>
        <v>202129033004</v>
      </c>
      <c r="E3307" s="10" t="s">
        <v>27</v>
      </c>
      <c r="F3307" s="6" t="s">
        <v>11</v>
      </c>
      <c r="G3307" s="8">
        <v>0</v>
      </c>
      <c r="H3307" s="9">
        <v>1</v>
      </c>
    </row>
    <row r="3308" spans="1:8">
      <c r="A3308" s="5">
        <v>3046</v>
      </c>
      <c r="B3308" s="6" t="str">
        <f>"钟苹溶"</f>
        <v>钟苹溶</v>
      </c>
      <c r="C3308" s="6" t="str">
        <f t="shared" si="154"/>
        <v>女</v>
      </c>
      <c r="D3308" s="6" t="str">
        <f>"202129033005"</f>
        <v>202129033005</v>
      </c>
      <c r="E3308" s="10" t="s">
        <v>27</v>
      </c>
      <c r="F3308" s="6" t="s">
        <v>11</v>
      </c>
      <c r="G3308" s="8">
        <v>81.150000000000006</v>
      </c>
      <c r="H3308" s="6"/>
    </row>
    <row r="3309" spans="1:8">
      <c r="A3309" s="5">
        <v>2965</v>
      </c>
      <c r="B3309" s="6" t="str">
        <f>"肖慕华"</f>
        <v>肖慕华</v>
      </c>
      <c r="C3309" s="6" t="str">
        <f t="shared" si="154"/>
        <v>女</v>
      </c>
      <c r="D3309" s="6" t="str">
        <f>"202129033006"</f>
        <v>202129033006</v>
      </c>
      <c r="E3309" s="10" t="s">
        <v>27</v>
      </c>
      <c r="F3309" s="6" t="s">
        <v>11</v>
      </c>
      <c r="G3309" s="8">
        <v>95.75</v>
      </c>
      <c r="H3309" s="6"/>
    </row>
    <row r="3310" spans="1:8">
      <c r="A3310" s="5">
        <v>2767</v>
      </c>
      <c r="B3310" s="6" t="str">
        <f>"伍春花"</f>
        <v>伍春花</v>
      </c>
      <c r="C3310" s="6" t="str">
        <f t="shared" si="154"/>
        <v>女</v>
      </c>
      <c r="D3310" s="6" t="str">
        <f>"202129033007"</f>
        <v>202129033007</v>
      </c>
      <c r="E3310" s="10" t="s">
        <v>27</v>
      </c>
      <c r="F3310" s="6" t="s">
        <v>11</v>
      </c>
      <c r="G3310" s="8">
        <v>0</v>
      </c>
      <c r="H3310" s="9">
        <v>1</v>
      </c>
    </row>
    <row r="3311" spans="1:8">
      <c r="A3311" s="5">
        <v>3079</v>
      </c>
      <c r="B3311" s="6" t="str">
        <f>"王江河"</f>
        <v>王江河</v>
      </c>
      <c r="C3311" s="6" t="str">
        <f t="shared" si="154"/>
        <v>女</v>
      </c>
      <c r="D3311" s="6" t="str">
        <f>"202129033008"</f>
        <v>202129033008</v>
      </c>
      <c r="E3311" s="10" t="s">
        <v>27</v>
      </c>
      <c r="F3311" s="6" t="s">
        <v>11</v>
      </c>
      <c r="G3311" s="8">
        <v>76.400000000000006</v>
      </c>
      <c r="H3311" s="6"/>
    </row>
    <row r="3312" spans="1:8">
      <c r="A3312" s="5">
        <v>3231</v>
      </c>
      <c r="B3312" s="6" t="str">
        <f>"肖栩"</f>
        <v>肖栩</v>
      </c>
      <c r="C3312" s="6" t="str">
        <f t="shared" si="154"/>
        <v>女</v>
      </c>
      <c r="D3312" s="6" t="str">
        <f>"202129033009"</f>
        <v>202129033009</v>
      </c>
      <c r="E3312" s="10" t="s">
        <v>27</v>
      </c>
      <c r="F3312" s="6" t="s">
        <v>11</v>
      </c>
      <c r="G3312" s="8">
        <v>50.4</v>
      </c>
      <c r="H3312" s="6"/>
    </row>
    <row r="3313" spans="1:8">
      <c r="A3313" s="5">
        <v>3246</v>
      </c>
      <c r="B3313" s="6" t="str">
        <f>"钟鑫"</f>
        <v>钟鑫</v>
      </c>
      <c r="C3313" s="6" t="str">
        <f t="shared" si="154"/>
        <v>女</v>
      </c>
      <c r="D3313" s="6" t="str">
        <f>"202129033010"</f>
        <v>202129033010</v>
      </c>
      <c r="E3313" s="10" t="s">
        <v>27</v>
      </c>
      <c r="F3313" s="6" t="s">
        <v>11</v>
      </c>
      <c r="G3313" s="8">
        <v>55.2</v>
      </c>
      <c r="H3313" s="6"/>
    </row>
    <row r="3314" spans="1:8">
      <c r="A3314" s="5">
        <v>3165</v>
      </c>
      <c r="B3314" s="6" t="str">
        <f>"谭潇"</f>
        <v>谭潇</v>
      </c>
      <c r="C3314" s="6" t="str">
        <f>"男"</f>
        <v>男</v>
      </c>
      <c r="D3314" s="6" t="str">
        <f>"202129033011"</f>
        <v>202129033011</v>
      </c>
      <c r="E3314" s="10" t="s">
        <v>27</v>
      </c>
      <c r="F3314" s="6" t="s">
        <v>11</v>
      </c>
      <c r="G3314" s="8">
        <v>78.400000000000006</v>
      </c>
      <c r="H3314" s="6"/>
    </row>
    <row r="3315" spans="1:8">
      <c r="A3315" s="5">
        <v>2935</v>
      </c>
      <c r="B3315" s="6" t="str">
        <f>"雷淑云"</f>
        <v>雷淑云</v>
      </c>
      <c r="C3315" s="6" t="str">
        <f t="shared" ref="C3315:C3322" si="155">"女"</f>
        <v>女</v>
      </c>
      <c r="D3315" s="6" t="str">
        <f>"202129033012"</f>
        <v>202129033012</v>
      </c>
      <c r="E3315" s="10" t="s">
        <v>27</v>
      </c>
      <c r="F3315" s="6" t="s">
        <v>11</v>
      </c>
      <c r="G3315" s="8">
        <v>48.55</v>
      </c>
      <c r="H3315" s="6"/>
    </row>
    <row r="3316" spans="1:8">
      <c r="A3316" s="5">
        <v>2913</v>
      </c>
      <c r="B3316" s="6" t="str">
        <f>"李曼"</f>
        <v>李曼</v>
      </c>
      <c r="C3316" s="6" t="str">
        <f t="shared" si="155"/>
        <v>女</v>
      </c>
      <c r="D3316" s="6" t="str">
        <f>"202129033013"</f>
        <v>202129033013</v>
      </c>
      <c r="E3316" s="10" t="s">
        <v>27</v>
      </c>
      <c r="F3316" s="6" t="s">
        <v>11</v>
      </c>
      <c r="G3316" s="8">
        <v>0</v>
      </c>
      <c r="H3316" s="9">
        <v>1</v>
      </c>
    </row>
    <row r="3317" spans="1:8">
      <c r="A3317" s="5">
        <v>3037</v>
      </c>
      <c r="B3317" s="6" t="str">
        <f>"唐小凤"</f>
        <v>唐小凤</v>
      </c>
      <c r="C3317" s="6" t="str">
        <f t="shared" si="155"/>
        <v>女</v>
      </c>
      <c r="D3317" s="6" t="str">
        <f>"202129033014"</f>
        <v>202129033014</v>
      </c>
      <c r="E3317" s="10" t="s">
        <v>27</v>
      </c>
      <c r="F3317" s="6" t="s">
        <v>11</v>
      </c>
      <c r="G3317" s="8">
        <v>84.8</v>
      </c>
      <c r="H3317" s="6"/>
    </row>
    <row r="3318" spans="1:8">
      <c r="A3318" s="5">
        <v>2989</v>
      </c>
      <c r="B3318" s="6" t="str">
        <f>"肖洁"</f>
        <v>肖洁</v>
      </c>
      <c r="C3318" s="6" t="str">
        <f t="shared" si="155"/>
        <v>女</v>
      </c>
      <c r="D3318" s="6" t="str">
        <f>"202129033015"</f>
        <v>202129033015</v>
      </c>
      <c r="E3318" s="10" t="s">
        <v>27</v>
      </c>
      <c r="F3318" s="6" t="s">
        <v>11</v>
      </c>
      <c r="G3318" s="8">
        <v>78.650000000000006</v>
      </c>
      <c r="H3318" s="6"/>
    </row>
    <row r="3319" spans="1:8">
      <c r="A3319" s="5">
        <v>3083</v>
      </c>
      <c r="B3319" s="6" t="str">
        <f>"马红梅"</f>
        <v>马红梅</v>
      </c>
      <c r="C3319" s="6" t="str">
        <f t="shared" si="155"/>
        <v>女</v>
      </c>
      <c r="D3319" s="6" t="str">
        <f>"202129033016"</f>
        <v>202129033016</v>
      </c>
      <c r="E3319" s="10" t="s">
        <v>27</v>
      </c>
      <c r="F3319" s="6" t="s">
        <v>11</v>
      </c>
      <c r="G3319" s="8">
        <v>72.849999999999994</v>
      </c>
      <c r="H3319" s="6"/>
    </row>
    <row r="3320" spans="1:8">
      <c r="A3320" s="5">
        <v>2762</v>
      </c>
      <c r="B3320" s="6" t="str">
        <f>"廖慧"</f>
        <v>廖慧</v>
      </c>
      <c r="C3320" s="6" t="str">
        <f t="shared" si="155"/>
        <v>女</v>
      </c>
      <c r="D3320" s="6" t="str">
        <f>"202129033017"</f>
        <v>202129033017</v>
      </c>
      <c r="E3320" s="10" t="s">
        <v>27</v>
      </c>
      <c r="F3320" s="6" t="s">
        <v>11</v>
      </c>
      <c r="G3320" s="8">
        <v>64.25</v>
      </c>
      <c r="H3320" s="6"/>
    </row>
    <row r="3321" spans="1:8">
      <c r="A3321" s="5">
        <v>3029</v>
      </c>
      <c r="B3321" s="6" t="str">
        <f>"刘杰"</f>
        <v>刘杰</v>
      </c>
      <c r="C3321" s="6" t="str">
        <f t="shared" si="155"/>
        <v>女</v>
      </c>
      <c r="D3321" s="6" t="str">
        <f>"202129033018"</f>
        <v>202129033018</v>
      </c>
      <c r="E3321" s="10" t="s">
        <v>27</v>
      </c>
      <c r="F3321" s="6" t="s">
        <v>11</v>
      </c>
      <c r="G3321" s="8">
        <v>87</v>
      </c>
      <c r="H3321" s="6"/>
    </row>
    <row r="3322" spans="1:8">
      <c r="A3322" s="5">
        <v>2757</v>
      </c>
      <c r="B3322" s="6" t="str">
        <f>"周瑛"</f>
        <v>周瑛</v>
      </c>
      <c r="C3322" s="6" t="str">
        <f t="shared" si="155"/>
        <v>女</v>
      </c>
      <c r="D3322" s="6" t="str">
        <f>"202129033019"</f>
        <v>202129033019</v>
      </c>
      <c r="E3322" s="10" t="s">
        <v>27</v>
      </c>
      <c r="F3322" s="6" t="s">
        <v>11</v>
      </c>
      <c r="G3322" s="8">
        <v>83.85</v>
      </c>
      <c r="H3322" s="6"/>
    </row>
    <row r="3323" spans="1:8">
      <c r="A3323" s="5">
        <v>3002</v>
      </c>
      <c r="B3323" s="6" t="str">
        <f>"夏锦"</f>
        <v>夏锦</v>
      </c>
      <c r="C3323" s="6" t="str">
        <f>"男"</f>
        <v>男</v>
      </c>
      <c r="D3323" s="6" t="str">
        <f>"202129033020"</f>
        <v>202129033020</v>
      </c>
      <c r="E3323" s="10" t="s">
        <v>27</v>
      </c>
      <c r="F3323" s="6" t="s">
        <v>11</v>
      </c>
      <c r="G3323" s="8">
        <v>0</v>
      </c>
      <c r="H3323" s="9">
        <v>1</v>
      </c>
    </row>
    <row r="3324" spans="1:8">
      <c r="A3324" s="5">
        <v>3241</v>
      </c>
      <c r="B3324" s="6" t="str">
        <f>"尹珺"</f>
        <v>尹珺</v>
      </c>
      <c r="C3324" s="6" t="str">
        <f>"女"</f>
        <v>女</v>
      </c>
      <c r="D3324" s="6" t="str">
        <f>"202129033021"</f>
        <v>202129033021</v>
      </c>
      <c r="E3324" s="10" t="s">
        <v>27</v>
      </c>
      <c r="F3324" s="6" t="s">
        <v>11</v>
      </c>
      <c r="G3324" s="8">
        <v>46.5</v>
      </c>
      <c r="H3324" s="6"/>
    </row>
    <row r="3325" spans="1:8">
      <c r="A3325" s="5">
        <v>2916</v>
      </c>
      <c r="B3325" s="6" t="str">
        <f>"谭素"</f>
        <v>谭素</v>
      </c>
      <c r="C3325" s="6" t="str">
        <f>"女"</f>
        <v>女</v>
      </c>
      <c r="D3325" s="6" t="str">
        <f>"202129033022"</f>
        <v>202129033022</v>
      </c>
      <c r="E3325" s="10" t="s">
        <v>27</v>
      </c>
      <c r="F3325" s="6" t="s">
        <v>11</v>
      </c>
      <c r="G3325" s="8">
        <v>74.2</v>
      </c>
      <c r="H3325" s="6"/>
    </row>
    <row r="3326" spans="1:8">
      <c r="A3326" s="5">
        <v>3088</v>
      </c>
      <c r="B3326" s="6" t="str">
        <f>"罗灵"</f>
        <v>罗灵</v>
      </c>
      <c r="C3326" s="6" t="str">
        <f>"女"</f>
        <v>女</v>
      </c>
      <c r="D3326" s="6" t="str">
        <f>"202129033023"</f>
        <v>202129033023</v>
      </c>
      <c r="E3326" s="10" t="s">
        <v>27</v>
      </c>
      <c r="F3326" s="6" t="s">
        <v>11</v>
      </c>
      <c r="G3326" s="8">
        <v>59.15</v>
      </c>
      <c r="H3326" s="6"/>
    </row>
    <row r="3327" spans="1:8">
      <c r="A3327" s="5">
        <v>3075</v>
      </c>
      <c r="B3327" s="6" t="str">
        <f>"刘恋中"</f>
        <v>刘恋中</v>
      </c>
      <c r="C3327" s="6" t="str">
        <f>"女"</f>
        <v>女</v>
      </c>
      <c r="D3327" s="6" t="str">
        <f>"202129033024"</f>
        <v>202129033024</v>
      </c>
      <c r="E3327" s="10" t="s">
        <v>27</v>
      </c>
      <c r="F3327" s="6" t="s">
        <v>11</v>
      </c>
      <c r="G3327" s="8">
        <v>90</v>
      </c>
      <c r="H3327" s="6"/>
    </row>
    <row r="3328" spans="1:8">
      <c r="A3328" s="5">
        <v>2812</v>
      </c>
      <c r="B3328" s="6" t="str">
        <f>"刘海浩"</f>
        <v>刘海浩</v>
      </c>
      <c r="C3328" s="6" t="str">
        <f>"男"</f>
        <v>男</v>
      </c>
      <c r="D3328" s="6" t="str">
        <f>"202129033025"</f>
        <v>202129033025</v>
      </c>
      <c r="E3328" s="10" t="s">
        <v>27</v>
      </c>
      <c r="F3328" s="6" t="s">
        <v>11</v>
      </c>
      <c r="G3328" s="8">
        <v>87.55</v>
      </c>
      <c r="H3328" s="6"/>
    </row>
    <row r="3329" spans="1:8">
      <c r="A3329" s="5">
        <v>2959</v>
      </c>
      <c r="B3329" s="6" t="str">
        <f>"仇利贵"</f>
        <v>仇利贵</v>
      </c>
      <c r="C3329" s="6" t="str">
        <f>"女"</f>
        <v>女</v>
      </c>
      <c r="D3329" s="6" t="str">
        <f>"202129033026"</f>
        <v>202129033026</v>
      </c>
      <c r="E3329" s="10" t="s">
        <v>27</v>
      </c>
      <c r="F3329" s="6" t="s">
        <v>11</v>
      </c>
      <c r="G3329" s="8">
        <v>64.400000000000006</v>
      </c>
      <c r="H3329" s="6"/>
    </row>
    <row r="3330" spans="1:8">
      <c r="A3330" s="5">
        <v>3213</v>
      </c>
      <c r="B3330" s="6" t="str">
        <f>"谢友情"</f>
        <v>谢友情</v>
      </c>
      <c r="C3330" s="6" t="str">
        <f>"女"</f>
        <v>女</v>
      </c>
      <c r="D3330" s="6" t="str">
        <f>"202129033027"</f>
        <v>202129033027</v>
      </c>
      <c r="E3330" s="10" t="s">
        <v>27</v>
      </c>
      <c r="F3330" s="6" t="s">
        <v>11</v>
      </c>
      <c r="G3330" s="8">
        <v>64.95</v>
      </c>
      <c r="H3330" s="6"/>
    </row>
    <row r="3331" spans="1:8">
      <c r="A3331" s="5">
        <v>3066</v>
      </c>
      <c r="B3331" s="6" t="str">
        <f>"李卓"</f>
        <v>李卓</v>
      </c>
      <c r="C3331" s="6" t="str">
        <f>"男"</f>
        <v>男</v>
      </c>
      <c r="D3331" s="6" t="str">
        <f>"202129033028"</f>
        <v>202129033028</v>
      </c>
      <c r="E3331" s="10" t="s">
        <v>27</v>
      </c>
      <c r="F3331" s="6" t="s">
        <v>11</v>
      </c>
      <c r="G3331" s="8">
        <v>70.7</v>
      </c>
      <c r="H3331" s="6"/>
    </row>
    <row r="3332" spans="1:8">
      <c r="A3332" s="5">
        <v>3261</v>
      </c>
      <c r="B3332" s="6" t="str">
        <f>"郭良玉"</f>
        <v>郭良玉</v>
      </c>
      <c r="C3332" s="6" t="str">
        <f>"女"</f>
        <v>女</v>
      </c>
      <c r="D3332" s="6" t="str">
        <f>"202129033029"</f>
        <v>202129033029</v>
      </c>
      <c r="E3332" s="10" t="s">
        <v>27</v>
      </c>
      <c r="F3332" s="6" t="s">
        <v>11</v>
      </c>
      <c r="G3332" s="8">
        <v>62.9</v>
      </c>
      <c r="H3332" s="6"/>
    </row>
    <row r="3333" spans="1:8">
      <c r="A3333" s="5">
        <v>2893</v>
      </c>
      <c r="B3333" s="6" t="str">
        <f>"周文"</f>
        <v>周文</v>
      </c>
      <c r="C3333" s="6" t="str">
        <f>"女"</f>
        <v>女</v>
      </c>
      <c r="D3333" s="6" t="str">
        <f>"202129033030"</f>
        <v>202129033030</v>
      </c>
      <c r="E3333" s="10" t="s">
        <v>27</v>
      </c>
      <c r="F3333" s="6" t="s">
        <v>11</v>
      </c>
      <c r="G3333" s="8">
        <v>76.05</v>
      </c>
      <c r="H3333" s="6"/>
    </row>
    <row r="3334" spans="1:8">
      <c r="A3334" s="5">
        <v>3052</v>
      </c>
      <c r="B3334" s="6" t="str">
        <f>"林巧巧"</f>
        <v>林巧巧</v>
      </c>
      <c r="C3334" s="6" t="str">
        <f>"女"</f>
        <v>女</v>
      </c>
      <c r="D3334" s="6" t="str">
        <f>"202129033101"</f>
        <v>202129033101</v>
      </c>
      <c r="E3334" s="10" t="s">
        <v>27</v>
      </c>
      <c r="F3334" s="6" t="s">
        <v>11</v>
      </c>
      <c r="G3334" s="8">
        <v>0</v>
      </c>
      <c r="H3334" s="9">
        <v>1</v>
      </c>
    </row>
    <row r="3335" spans="1:8">
      <c r="A3335" s="5">
        <v>3247</v>
      </c>
      <c r="B3335" s="6" t="str">
        <f>"肖艳霞"</f>
        <v>肖艳霞</v>
      </c>
      <c r="C3335" s="6" t="str">
        <f>"女"</f>
        <v>女</v>
      </c>
      <c r="D3335" s="6" t="str">
        <f>"202129033102"</f>
        <v>202129033102</v>
      </c>
      <c r="E3335" s="10" t="s">
        <v>27</v>
      </c>
      <c r="F3335" s="6" t="s">
        <v>11</v>
      </c>
      <c r="G3335" s="8">
        <v>59.15</v>
      </c>
      <c r="H3335" s="6"/>
    </row>
    <row r="3336" spans="1:8">
      <c r="A3336" s="5">
        <v>3025</v>
      </c>
      <c r="B3336" s="6" t="str">
        <f>"袁斌"</f>
        <v>袁斌</v>
      </c>
      <c r="C3336" s="6" t="str">
        <f>"男"</f>
        <v>男</v>
      </c>
      <c r="D3336" s="6" t="str">
        <f>"202129033103"</f>
        <v>202129033103</v>
      </c>
      <c r="E3336" s="10" t="s">
        <v>27</v>
      </c>
      <c r="F3336" s="6" t="s">
        <v>11</v>
      </c>
      <c r="G3336" s="8">
        <v>83.9</v>
      </c>
      <c r="H3336" s="6"/>
    </row>
    <row r="3337" spans="1:8">
      <c r="A3337" s="5">
        <v>3011</v>
      </c>
      <c r="B3337" s="6" t="str">
        <f>"陈家江"</f>
        <v>陈家江</v>
      </c>
      <c r="C3337" s="6" t="str">
        <f>"男"</f>
        <v>男</v>
      </c>
      <c r="D3337" s="6" t="str">
        <f>"202129033104"</f>
        <v>202129033104</v>
      </c>
      <c r="E3337" s="10" t="s">
        <v>27</v>
      </c>
      <c r="F3337" s="6" t="s">
        <v>11</v>
      </c>
      <c r="G3337" s="8">
        <v>0</v>
      </c>
      <c r="H3337" s="9">
        <v>1</v>
      </c>
    </row>
    <row r="3338" spans="1:8">
      <c r="A3338" s="5">
        <v>3276</v>
      </c>
      <c r="B3338" s="6" t="str">
        <f>"刘雅琴"</f>
        <v>刘雅琴</v>
      </c>
      <c r="C3338" s="6" t="str">
        <f t="shared" ref="C3338:C3344" si="156">"女"</f>
        <v>女</v>
      </c>
      <c r="D3338" s="6" t="str">
        <f>"202129033105"</f>
        <v>202129033105</v>
      </c>
      <c r="E3338" s="10" t="s">
        <v>27</v>
      </c>
      <c r="F3338" s="6" t="s">
        <v>11</v>
      </c>
      <c r="G3338" s="8">
        <v>61.35</v>
      </c>
      <c r="H3338" s="6"/>
    </row>
    <row r="3339" spans="1:8">
      <c r="A3339" s="5">
        <v>2981</v>
      </c>
      <c r="B3339" s="6" t="str">
        <f>"刘思敏"</f>
        <v>刘思敏</v>
      </c>
      <c r="C3339" s="6" t="str">
        <f t="shared" si="156"/>
        <v>女</v>
      </c>
      <c r="D3339" s="6" t="str">
        <f>"202129033106"</f>
        <v>202129033106</v>
      </c>
      <c r="E3339" s="10" t="s">
        <v>27</v>
      </c>
      <c r="F3339" s="6" t="s">
        <v>11</v>
      </c>
      <c r="G3339" s="8">
        <v>86.8</v>
      </c>
      <c r="H3339" s="6"/>
    </row>
    <row r="3340" spans="1:8">
      <c r="A3340" s="5">
        <v>3151</v>
      </c>
      <c r="B3340" s="6" t="str">
        <f>"张紫怡"</f>
        <v>张紫怡</v>
      </c>
      <c r="C3340" s="6" t="str">
        <f t="shared" si="156"/>
        <v>女</v>
      </c>
      <c r="D3340" s="6" t="str">
        <f>"202129033107"</f>
        <v>202129033107</v>
      </c>
      <c r="E3340" s="10" t="s">
        <v>27</v>
      </c>
      <c r="F3340" s="6" t="s">
        <v>11</v>
      </c>
      <c r="G3340" s="8">
        <v>77.400000000000006</v>
      </c>
      <c r="H3340" s="6"/>
    </row>
    <row r="3341" spans="1:8">
      <c r="A3341" s="5">
        <v>3240</v>
      </c>
      <c r="B3341" s="6" t="str">
        <f>"蒋静"</f>
        <v>蒋静</v>
      </c>
      <c r="C3341" s="6" t="str">
        <f t="shared" si="156"/>
        <v>女</v>
      </c>
      <c r="D3341" s="6" t="str">
        <f>"202129033108"</f>
        <v>202129033108</v>
      </c>
      <c r="E3341" s="10" t="s">
        <v>27</v>
      </c>
      <c r="F3341" s="6" t="s">
        <v>11</v>
      </c>
      <c r="G3341" s="8">
        <v>66.5</v>
      </c>
      <c r="H3341" s="6"/>
    </row>
    <row r="3342" spans="1:8">
      <c r="A3342" s="5">
        <v>2820</v>
      </c>
      <c r="B3342" s="6" t="str">
        <f>"曾晗曦"</f>
        <v>曾晗曦</v>
      </c>
      <c r="C3342" s="6" t="str">
        <f t="shared" si="156"/>
        <v>女</v>
      </c>
      <c r="D3342" s="6" t="str">
        <f>"202129033109"</f>
        <v>202129033109</v>
      </c>
      <c r="E3342" s="10" t="s">
        <v>27</v>
      </c>
      <c r="F3342" s="6" t="s">
        <v>11</v>
      </c>
      <c r="G3342" s="8">
        <v>78</v>
      </c>
      <c r="H3342" s="6"/>
    </row>
    <row r="3343" spans="1:8">
      <c r="A3343" s="5">
        <v>3012</v>
      </c>
      <c r="B3343" s="6" t="str">
        <f>"唐倩倩"</f>
        <v>唐倩倩</v>
      </c>
      <c r="C3343" s="6" t="str">
        <f t="shared" si="156"/>
        <v>女</v>
      </c>
      <c r="D3343" s="6" t="str">
        <f>"202129033110"</f>
        <v>202129033110</v>
      </c>
      <c r="E3343" s="10" t="s">
        <v>27</v>
      </c>
      <c r="F3343" s="6" t="s">
        <v>11</v>
      </c>
      <c r="G3343" s="8">
        <v>62.3</v>
      </c>
      <c r="H3343" s="6"/>
    </row>
    <row r="3344" spans="1:8">
      <c r="A3344" s="5">
        <v>3048</v>
      </c>
      <c r="B3344" s="6" t="str">
        <f>"黎思"</f>
        <v>黎思</v>
      </c>
      <c r="C3344" s="6" t="str">
        <f t="shared" si="156"/>
        <v>女</v>
      </c>
      <c r="D3344" s="6" t="str">
        <f>"202129033111"</f>
        <v>202129033111</v>
      </c>
      <c r="E3344" s="10" t="s">
        <v>27</v>
      </c>
      <c r="F3344" s="6" t="s">
        <v>11</v>
      </c>
      <c r="G3344" s="8">
        <v>81.099999999999994</v>
      </c>
      <c r="H3344" s="6"/>
    </row>
    <row r="3345" spans="1:8">
      <c r="A3345" s="5">
        <v>3179</v>
      </c>
      <c r="B3345" s="6" t="str">
        <f>"陈邵伯"</f>
        <v>陈邵伯</v>
      </c>
      <c r="C3345" s="6" t="str">
        <f>"男"</f>
        <v>男</v>
      </c>
      <c r="D3345" s="6" t="str">
        <f>"202129033112"</f>
        <v>202129033112</v>
      </c>
      <c r="E3345" s="10" t="s">
        <v>27</v>
      </c>
      <c r="F3345" s="6" t="s">
        <v>11</v>
      </c>
      <c r="G3345" s="8">
        <v>78.099999999999994</v>
      </c>
      <c r="H3345" s="6"/>
    </row>
    <row r="3346" spans="1:8">
      <c r="A3346" s="5">
        <v>3155</v>
      </c>
      <c r="B3346" s="6" t="str">
        <f>"尹依婷"</f>
        <v>尹依婷</v>
      </c>
      <c r="C3346" s="6" t="str">
        <f t="shared" ref="C3346:C3352" si="157">"女"</f>
        <v>女</v>
      </c>
      <c r="D3346" s="6" t="str">
        <f>"202129033113"</f>
        <v>202129033113</v>
      </c>
      <c r="E3346" s="10" t="s">
        <v>27</v>
      </c>
      <c r="F3346" s="6" t="s">
        <v>11</v>
      </c>
      <c r="G3346" s="8">
        <v>51.3</v>
      </c>
      <c r="H3346" s="6"/>
    </row>
    <row r="3347" spans="1:8">
      <c r="A3347" s="5">
        <v>2870</v>
      </c>
      <c r="B3347" s="6" t="str">
        <f>"廖雨峰"</f>
        <v>廖雨峰</v>
      </c>
      <c r="C3347" s="6" t="str">
        <f t="shared" si="157"/>
        <v>女</v>
      </c>
      <c r="D3347" s="6" t="str">
        <f>"202129033114"</f>
        <v>202129033114</v>
      </c>
      <c r="E3347" s="10" t="s">
        <v>27</v>
      </c>
      <c r="F3347" s="6" t="s">
        <v>11</v>
      </c>
      <c r="G3347" s="8">
        <v>83.8</v>
      </c>
      <c r="H3347" s="6"/>
    </row>
    <row r="3348" spans="1:8">
      <c r="A3348" s="5">
        <v>3043</v>
      </c>
      <c r="B3348" s="6" t="str">
        <f>"易盼"</f>
        <v>易盼</v>
      </c>
      <c r="C3348" s="6" t="str">
        <f t="shared" si="157"/>
        <v>女</v>
      </c>
      <c r="D3348" s="6" t="str">
        <f>"202129033115"</f>
        <v>202129033115</v>
      </c>
      <c r="E3348" s="10" t="s">
        <v>27</v>
      </c>
      <c r="F3348" s="6" t="s">
        <v>11</v>
      </c>
      <c r="G3348" s="8">
        <v>91.5</v>
      </c>
      <c r="H3348" s="6"/>
    </row>
    <row r="3349" spans="1:8">
      <c r="A3349" s="5">
        <v>2941</v>
      </c>
      <c r="B3349" s="6" t="str">
        <f>"黄骞"</f>
        <v>黄骞</v>
      </c>
      <c r="C3349" s="6" t="str">
        <f t="shared" si="157"/>
        <v>女</v>
      </c>
      <c r="D3349" s="6" t="str">
        <f>"202129033116"</f>
        <v>202129033116</v>
      </c>
      <c r="E3349" s="10" t="s">
        <v>27</v>
      </c>
      <c r="F3349" s="6" t="s">
        <v>11</v>
      </c>
      <c r="G3349" s="8">
        <v>83.1</v>
      </c>
      <c r="H3349" s="6"/>
    </row>
    <row r="3350" spans="1:8">
      <c r="A3350" s="5">
        <v>3126</v>
      </c>
      <c r="B3350" s="6" t="str">
        <f>"李婷"</f>
        <v>李婷</v>
      </c>
      <c r="C3350" s="6" t="str">
        <f t="shared" si="157"/>
        <v>女</v>
      </c>
      <c r="D3350" s="6" t="str">
        <f>"202129033117"</f>
        <v>202129033117</v>
      </c>
      <c r="E3350" s="10" t="s">
        <v>27</v>
      </c>
      <c r="F3350" s="6" t="s">
        <v>11</v>
      </c>
      <c r="G3350" s="8">
        <v>73.45</v>
      </c>
      <c r="H3350" s="6"/>
    </row>
    <row r="3351" spans="1:8">
      <c r="A3351" s="5">
        <v>3131</v>
      </c>
      <c r="B3351" s="6" t="str">
        <f>"伍晏慧"</f>
        <v>伍晏慧</v>
      </c>
      <c r="C3351" s="6" t="str">
        <f t="shared" si="157"/>
        <v>女</v>
      </c>
      <c r="D3351" s="6" t="str">
        <f>"202129033118"</f>
        <v>202129033118</v>
      </c>
      <c r="E3351" s="10" t="s">
        <v>27</v>
      </c>
      <c r="F3351" s="6" t="s">
        <v>11</v>
      </c>
      <c r="G3351" s="8">
        <v>69.5</v>
      </c>
      <c r="H3351" s="6"/>
    </row>
    <row r="3352" spans="1:8">
      <c r="A3352" s="5">
        <v>3010</v>
      </c>
      <c r="B3352" s="6" t="str">
        <f>"蒋金玉"</f>
        <v>蒋金玉</v>
      </c>
      <c r="C3352" s="6" t="str">
        <f t="shared" si="157"/>
        <v>女</v>
      </c>
      <c r="D3352" s="6" t="str">
        <f>"202129033119"</f>
        <v>202129033119</v>
      </c>
      <c r="E3352" s="10" t="s">
        <v>27</v>
      </c>
      <c r="F3352" s="6" t="s">
        <v>11</v>
      </c>
      <c r="G3352" s="8">
        <v>65.849999999999994</v>
      </c>
      <c r="H3352" s="6"/>
    </row>
    <row r="3353" spans="1:8">
      <c r="A3353" s="5">
        <v>2772</v>
      </c>
      <c r="B3353" s="6" t="str">
        <f>"肖宇星"</f>
        <v>肖宇星</v>
      </c>
      <c r="C3353" s="6" t="str">
        <f>"男"</f>
        <v>男</v>
      </c>
      <c r="D3353" s="6" t="str">
        <f>"202129033120"</f>
        <v>202129033120</v>
      </c>
      <c r="E3353" s="10" t="s">
        <v>27</v>
      </c>
      <c r="F3353" s="6" t="s">
        <v>11</v>
      </c>
      <c r="G3353" s="8">
        <v>0</v>
      </c>
      <c r="H3353" s="9">
        <v>1</v>
      </c>
    </row>
    <row r="3354" spans="1:8">
      <c r="A3354" s="5">
        <v>3033</v>
      </c>
      <c r="B3354" s="6" t="str">
        <f>"钟飞雯"</f>
        <v>钟飞雯</v>
      </c>
      <c r="C3354" s="6" t="str">
        <f>"女"</f>
        <v>女</v>
      </c>
      <c r="D3354" s="6" t="str">
        <f>"202129033121"</f>
        <v>202129033121</v>
      </c>
      <c r="E3354" s="10" t="s">
        <v>27</v>
      </c>
      <c r="F3354" s="6" t="s">
        <v>11</v>
      </c>
      <c r="G3354" s="8">
        <v>83.75</v>
      </c>
      <c r="H3354" s="6"/>
    </row>
    <row r="3355" spans="1:8">
      <c r="A3355" s="5">
        <v>2997</v>
      </c>
      <c r="B3355" s="6" t="str">
        <f>"陈明霞"</f>
        <v>陈明霞</v>
      </c>
      <c r="C3355" s="6" t="str">
        <f>"女"</f>
        <v>女</v>
      </c>
      <c r="D3355" s="6" t="str">
        <f>"202129033122"</f>
        <v>202129033122</v>
      </c>
      <c r="E3355" s="10" t="s">
        <v>27</v>
      </c>
      <c r="F3355" s="6" t="s">
        <v>11</v>
      </c>
      <c r="G3355" s="8">
        <v>85.3</v>
      </c>
      <c r="H3355" s="6"/>
    </row>
    <row r="3356" spans="1:8">
      <c r="A3356" s="5">
        <v>3005</v>
      </c>
      <c r="B3356" s="6" t="str">
        <f>"黄茵"</f>
        <v>黄茵</v>
      </c>
      <c r="C3356" s="6" t="str">
        <f>"女"</f>
        <v>女</v>
      </c>
      <c r="D3356" s="6" t="str">
        <f>"202129033123"</f>
        <v>202129033123</v>
      </c>
      <c r="E3356" s="10" t="s">
        <v>27</v>
      </c>
      <c r="F3356" s="6" t="s">
        <v>11</v>
      </c>
      <c r="G3356" s="8">
        <v>84.6</v>
      </c>
      <c r="H3356" s="6"/>
    </row>
    <row r="3357" spans="1:8">
      <c r="A3357" s="5">
        <v>3256</v>
      </c>
      <c r="B3357" s="6" t="str">
        <f>"李烨"</f>
        <v>李烨</v>
      </c>
      <c r="C3357" s="6" t="str">
        <f>"男"</f>
        <v>男</v>
      </c>
      <c r="D3357" s="6" t="str">
        <f>"202129033124"</f>
        <v>202129033124</v>
      </c>
      <c r="E3357" s="10" t="s">
        <v>27</v>
      </c>
      <c r="F3357" s="6" t="s">
        <v>11</v>
      </c>
      <c r="G3357" s="8">
        <v>80.349999999999994</v>
      </c>
      <c r="H3357" s="6"/>
    </row>
    <row r="3358" spans="1:8">
      <c r="A3358" s="5">
        <v>3059</v>
      </c>
      <c r="B3358" s="6" t="str">
        <f>"罗品"</f>
        <v>罗品</v>
      </c>
      <c r="C3358" s="6" t="str">
        <f>"男"</f>
        <v>男</v>
      </c>
      <c r="D3358" s="6" t="str">
        <f>"202129033125"</f>
        <v>202129033125</v>
      </c>
      <c r="E3358" s="10" t="s">
        <v>27</v>
      </c>
      <c r="F3358" s="6" t="s">
        <v>11</v>
      </c>
      <c r="G3358" s="8">
        <v>46.2</v>
      </c>
      <c r="H3358" s="6"/>
    </row>
    <row r="3359" spans="1:8">
      <c r="A3359" s="5">
        <v>3123</v>
      </c>
      <c r="B3359" s="6" t="str">
        <f>"朱干艳"</f>
        <v>朱干艳</v>
      </c>
      <c r="C3359" s="6" t="str">
        <f>"女"</f>
        <v>女</v>
      </c>
      <c r="D3359" s="6" t="str">
        <f>"202129033126"</f>
        <v>202129033126</v>
      </c>
      <c r="E3359" s="10" t="s">
        <v>27</v>
      </c>
      <c r="F3359" s="6" t="s">
        <v>11</v>
      </c>
      <c r="G3359" s="8">
        <v>89.05</v>
      </c>
      <c r="H3359" s="6"/>
    </row>
    <row r="3360" spans="1:8">
      <c r="A3360" s="5">
        <v>2944</v>
      </c>
      <c r="B3360" s="6" t="str">
        <f>"罗岚"</f>
        <v>罗岚</v>
      </c>
      <c r="C3360" s="6" t="str">
        <f>"女"</f>
        <v>女</v>
      </c>
      <c r="D3360" s="6" t="str">
        <f>"202129033127"</f>
        <v>202129033127</v>
      </c>
      <c r="E3360" s="10" t="s">
        <v>27</v>
      </c>
      <c r="F3360" s="6" t="s">
        <v>11</v>
      </c>
      <c r="G3360" s="8">
        <v>77.75</v>
      </c>
      <c r="H3360" s="6"/>
    </row>
    <row r="3361" spans="1:8">
      <c r="A3361" s="5">
        <v>3185</v>
      </c>
      <c r="B3361" s="6" t="str">
        <f>"黄兵"</f>
        <v>黄兵</v>
      </c>
      <c r="C3361" s="6" t="str">
        <f>"男"</f>
        <v>男</v>
      </c>
      <c r="D3361" s="6" t="str">
        <f>"202129033128"</f>
        <v>202129033128</v>
      </c>
      <c r="E3361" s="10" t="s">
        <v>27</v>
      </c>
      <c r="F3361" s="6" t="s">
        <v>11</v>
      </c>
      <c r="G3361" s="8">
        <v>68.45</v>
      </c>
      <c r="H3361" s="6"/>
    </row>
    <row r="3362" spans="1:8">
      <c r="A3362" s="5">
        <v>3160</v>
      </c>
      <c r="B3362" s="6" t="str">
        <f>"付舒萍"</f>
        <v>付舒萍</v>
      </c>
      <c r="C3362" s="6" t="str">
        <f>"女"</f>
        <v>女</v>
      </c>
      <c r="D3362" s="6" t="str">
        <f>"202129033129"</f>
        <v>202129033129</v>
      </c>
      <c r="E3362" s="10" t="s">
        <v>27</v>
      </c>
      <c r="F3362" s="6" t="s">
        <v>11</v>
      </c>
      <c r="G3362" s="8">
        <v>71.5</v>
      </c>
      <c r="H3362" s="6"/>
    </row>
    <row r="3363" spans="1:8">
      <c r="A3363" s="5">
        <v>3154</v>
      </c>
      <c r="B3363" s="6" t="str">
        <f>"刘帆"</f>
        <v>刘帆</v>
      </c>
      <c r="C3363" s="6" t="str">
        <f>"女"</f>
        <v>女</v>
      </c>
      <c r="D3363" s="6" t="str">
        <f>"202129033130"</f>
        <v>202129033130</v>
      </c>
      <c r="E3363" s="10" t="s">
        <v>27</v>
      </c>
      <c r="F3363" s="6" t="s">
        <v>11</v>
      </c>
      <c r="G3363" s="8">
        <v>0</v>
      </c>
      <c r="H3363" s="9">
        <v>1</v>
      </c>
    </row>
    <row r="3364" spans="1:8">
      <c r="A3364" s="5">
        <v>3071</v>
      </c>
      <c r="B3364" s="6" t="str">
        <f>"杨文娟"</f>
        <v>杨文娟</v>
      </c>
      <c r="C3364" s="6" t="str">
        <f>"女"</f>
        <v>女</v>
      </c>
      <c r="D3364" s="6" t="str">
        <f>"202129033201"</f>
        <v>202129033201</v>
      </c>
      <c r="E3364" s="10" t="s">
        <v>27</v>
      </c>
      <c r="F3364" s="6" t="s">
        <v>11</v>
      </c>
      <c r="G3364" s="8">
        <v>66.95</v>
      </c>
      <c r="H3364" s="6"/>
    </row>
    <row r="3365" spans="1:8">
      <c r="A3365" s="5">
        <v>2957</v>
      </c>
      <c r="B3365" s="6" t="str">
        <f>"邓佳丽"</f>
        <v>邓佳丽</v>
      </c>
      <c r="C3365" s="6" t="str">
        <f>"女"</f>
        <v>女</v>
      </c>
      <c r="D3365" s="6" t="str">
        <f>"202129033202"</f>
        <v>202129033202</v>
      </c>
      <c r="E3365" s="10" t="s">
        <v>27</v>
      </c>
      <c r="F3365" s="6" t="s">
        <v>11</v>
      </c>
      <c r="G3365" s="8">
        <v>78</v>
      </c>
      <c r="H3365" s="6"/>
    </row>
    <row r="3366" spans="1:8">
      <c r="A3366" s="5">
        <v>3177</v>
      </c>
      <c r="B3366" s="6" t="str">
        <f>"唐金坤"</f>
        <v>唐金坤</v>
      </c>
      <c r="C3366" s="6" t="str">
        <f>"男"</f>
        <v>男</v>
      </c>
      <c r="D3366" s="6" t="str">
        <f>"202129033203"</f>
        <v>202129033203</v>
      </c>
      <c r="E3366" s="10" t="s">
        <v>27</v>
      </c>
      <c r="F3366" s="6" t="s">
        <v>11</v>
      </c>
      <c r="G3366" s="8">
        <v>90.3</v>
      </c>
      <c r="H3366" s="6"/>
    </row>
    <row r="3367" spans="1:8">
      <c r="A3367" s="5">
        <v>3186</v>
      </c>
      <c r="B3367" s="6" t="str">
        <f>"史林阳"</f>
        <v>史林阳</v>
      </c>
      <c r="C3367" s="6" t="str">
        <f t="shared" ref="C3367:C3374" si="158">"女"</f>
        <v>女</v>
      </c>
      <c r="D3367" s="6" t="str">
        <f>"202129033204"</f>
        <v>202129033204</v>
      </c>
      <c r="E3367" s="10" t="s">
        <v>27</v>
      </c>
      <c r="F3367" s="6" t="s">
        <v>11</v>
      </c>
      <c r="G3367" s="8">
        <v>63.8</v>
      </c>
      <c r="H3367" s="6"/>
    </row>
    <row r="3368" spans="1:8">
      <c r="A3368" s="5">
        <v>3269</v>
      </c>
      <c r="B3368" s="6" t="str">
        <f>"邓蓓蕾"</f>
        <v>邓蓓蕾</v>
      </c>
      <c r="C3368" s="6" t="str">
        <f t="shared" si="158"/>
        <v>女</v>
      </c>
      <c r="D3368" s="6" t="str">
        <f>"202129033205"</f>
        <v>202129033205</v>
      </c>
      <c r="E3368" s="10" t="s">
        <v>27</v>
      </c>
      <c r="F3368" s="6" t="s">
        <v>11</v>
      </c>
      <c r="G3368" s="8">
        <v>67.400000000000006</v>
      </c>
      <c r="H3368" s="6"/>
    </row>
    <row r="3369" spans="1:8">
      <c r="A3369" s="5">
        <v>3061</v>
      </c>
      <c r="B3369" s="6" t="str">
        <f>"邓容娟"</f>
        <v>邓容娟</v>
      </c>
      <c r="C3369" s="6" t="str">
        <f t="shared" si="158"/>
        <v>女</v>
      </c>
      <c r="D3369" s="6" t="str">
        <f>"202129033206"</f>
        <v>202129033206</v>
      </c>
      <c r="E3369" s="10" t="s">
        <v>27</v>
      </c>
      <c r="F3369" s="6" t="s">
        <v>11</v>
      </c>
      <c r="G3369" s="8">
        <v>44.6</v>
      </c>
      <c r="H3369" s="6"/>
    </row>
    <row r="3370" spans="1:8">
      <c r="A3370" s="5">
        <v>2923</v>
      </c>
      <c r="B3370" s="6" t="str">
        <f>"许海珍"</f>
        <v>许海珍</v>
      </c>
      <c r="C3370" s="6" t="str">
        <f t="shared" si="158"/>
        <v>女</v>
      </c>
      <c r="D3370" s="6" t="str">
        <f>"202129033207"</f>
        <v>202129033207</v>
      </c>
      <c r="E3370" s="10" t="s">
        <v>27</v>
      </c>
      <c r="F3370" s="6" t="s">
        <v>11</v>
      </c>
      <c r="G3370" s="8">
        <v>63.8</v>
      </c>
      <c r="H3370" s="6"/>
    </row>
    <row r="3371" spans="1:8">
      <c r="A3371" s="5">
        <v>2859</v>
      </c>
      <c r="B3371" s="6" t="str">
        <f>"金文娟"</f>
        <v>金文娟</v>
      </c>
      <c r="C3371" s="6" t="str">
        <f t="shared" si="158"/>
        <v>女</v>
      </c>
      <c r="D3371" s="6" t="str">
        <f>"202129033208"</f>
        <v>202129033208</v>
      </c>
      <c r="E3371" s="10" t="s">
        <v>27</v>
      </c>
      <c r="F3371" s="6" t="s">
        <v>11</v>
      </c>
      <c r="G3371" s="8">
        <v>77.7</v>
      </c>
      <c r="H3371" s="6"/>
    </row>
    <row r="3372" spans="1:8">
      <c r="A3372" s="5">
        <v>2837</v>
      </c>
      <c r="B3372" s="6" t="str">
        <f>"谢小花"</f>
        <v>谢小花</v>
      </c>
      <c r="C3372" s="6" t="str">
        <f t="shared" si="158"/>
        <v>女</v>
      </c>
      <c r="D3372" s="6" t="str">
        <f>"202129033209"</f>
        <v>202129033209</v>
      </c>
      <c r="E3372" s="10" t="s">
        <v>27</v>
      </c>
      <c r="F3372" s="6" t="s">
        <v>11</v>
      </c>
      <c r="G3372" s="8">
        <v>0</v>
      </c>
      <c r="H3372" s="9">
        <v>1</v>
      </c>
    </row>
    <row r="3373" spans="1:8">
      <c r="A3373" s="5">
        <v>3162</v>
      </c>
      <c r="B3373" s="6" t="str">
        <f>"刘洁铃"</f>
        <v>刘洁铃</v>
      </c>
      <c r="C3373" s="6" t="str">
        <f t="shared" si="158"/>
        <v>女</v>
      </c>
      <c r="D3373" s="6" t="str">
        <f>"202129033210"</f>
        <v>202129033210</v>
      </c>
      <c r="E3373" s="10" t="s">
        <v>27</v>
      </c>
      <c r="F3373" s="6" t="s">
        <v>11</v>
      </c>
      <c r="G3373" s="8">
        <v>79.599999999999994</v>
      </c>
      <c r="H3373" s="6"/>
    </row>
    <row r="3374" spans="1:8">
      <c r="A3374" s="5">
        <v>2875</v>
      </c>
      <c r="B3374" s="6" t="str">
        <f>"林艳飞"</f>
        <v>林艳飞</v>
      </c>
      <c r="C3374" s="6" t="str">
        <f t="shared" si="158"/>
        <v>女</v>
      </c>
      <c r="D3374" s="6" t="str">
        <f>"202129033211"</f>
        <v>202129033211</v>
      </c>
      <c r="E3374" s="10" t="s">
        <v>27</v>
      </c>
      <c r="F3374" s="6" t="s">
        <v>11</v>
      </c>
      <c r="G3374" s="8">
        <v>92.25</v>
      </c>
      <c r="H3374" s="6"/>
    </row>
    <row r="3375" spans="1:8">
      <c r="A3375" s="5">
        <v>2804</v>
      </c>
      <c r="B3375" s="6" t="str">
        <f>"罗泉"</f>
        <v>罗泉</v>
      </c>
      <c r="C3375" s="6" t="str">
        <f>"男"</f>
        <v>男</v>
      </c>
      <c r="D3375" s="6" t="str">
        <f>"202129033212"</f>
        <v>202129033212</v>
      </c>
      <c r="E3375" s="10" t="s">
        <v>27</v>
      </c>
      <c r="F3375" s="6" t="s">
        <v>11</v>
      </c>
      <c r="G3375" s="8">
        <v>33</v>
      </c>
      <c r="H3375" s="6"/>
    </row>
    <row r="3376" spans="1:8">
      <c r="A3376" s="5">
        <v>3130</v>
      </c>
      <c r="B3376" s="6" t="str">
        <f>"胡诗琦"</f>
        <v>胡诗琦</v>
      </c>
      <c r="C3376" s="6" t="str">
        <f>"女"</f>
        <v>女</v>
      </c>
      <c r="D3376" s="6" t="str">
        <f>"202129033213"</f>
        <v>202129033213</v>
      </c>
      <c r="E3376" s="10" t="s">
        <v>27</v>
      </c>
      <c r="F3376" s="6" t="s">
        <v>11</v>
      </c>
      <c r="G3376" s="8">
        <v>86.3</v>
      </c>
      <c r="H3376" s="6"/>
    </row>
    <row r="3377" spans="1:8">
      <c r="A3377" s="5">
        <v>2783</v>
      </c>
      <c r="B3377" s="6" t="str">
        <f>"李小梅"</f>
        <v>李小梅</v>
      </c>
      <c r="C3377" s="6" t="str">
        <f>"女"</f>
        <v>女</v>
      </c>
      <c r="D3377" s="6" t="str">
        <f>"202129033214"</f>
        <v>202129033214</v>
      </c>
      <c r="E3377" s="10" t="s">
        <v>27</v>
      </c>
      <c r="F3377" s="6" t="s">
        <v>11</v>
      </c>
      <c r="G3377" s="8">
        <v>64.650000000000006</v>
      </c>
      <c r="H3377" s="6"/>
    </row>
    <row r="3378" spans="1:8">
      <c r="A3378" s="5">
        <v>3105</v>
      </c>
      <c r="B3378" s="6" t="str">
        <f>"叶宝华"</f>
        <v>叶宝华</v>
      </c>
      <c r="C3378" s="6" t="str">
        <f>"女"</f>
        <v>女</v>
      </c>
      <c r="D3378" s="6" t="str">
        <f>"202129033215"</f>
        <v>202129033215</v>
      </c>
      <c r="E3378" s="10" t="s">
        <v>27</v>
      </c>
      <c r="F3378" s="6" t="s">
        <v>11</v>
      </c>
      <c r="G3378" s="8">
        <v>86.65</v>
      </c>
      <c r="H3378" s="6"/>
    </row>
    <row r="3379" spans="1:8">
      <c r="A3379" s="5">
        <v>3137</v>
      </c>
      <c r="B3379" s="6" t="str">
        <f>"唐劭珑"</f>
        <v>唐劭珑</v>
      </c>
      <c r="C3379" s="6" t="str">
        <f>"男"</f>
        <v>男</v>
      </c>
      <c r="D3379" s="6" t="str">
        <f>"202129033216"</f>
        <v>202129033216</v>
      </c>
      <c r="E3379" s="10" t="s">
        <v>27</v>
      </c>
      <c r="F3379" s="6" t="s">
        <v>11</v>
      </c>
      <c r="G3379" s="8">
        <v>67.45</v>
      </c>
      <c r="H3379" s="6"/>
    </row>
    <row r="3380" spans="1:8">
      <c r="A3380" s="5">
        <v>3208</v>
      </c>
      <c r="B3380" s="6" t="str">
        <f>"刘梦"</f>
        <v>刘梦</v>
      </c>
      <c r="C3380" s="6" t="str">
        <f>"女"</f>
        <v>女</v>
      </c>
      <c r="D3380" s="6" t="str">
        <f>"202129033217"</f>
        <v>202129033217</v>
      </c>
      <c r="E3380" s="10" t="s">
        <v>27</v>
      </c>
      <c r="F3380" s="6" t="s">
        <v>11</v>
      </c>
      <c r="G3380" s="8">
        <v>77.400000000000006</v>
      </c>
      <c r="H3380" s="6"/>
    </row>
    <row r="3381" spans="1:8">
      <c r="A3381" s="5">
        <v>2907</v>
      </c>
      <c r="B3381" s="6" t="str">
        <f>"李兰"</f>
        <v>李兰</v>
      </c>
      <c r="C3381" s="6" t="str">
        <f>"女"</f>
        <v>女</v>
      </c>
      <c r="D3381" s="6" t="str">
        <f>"202129033218"</f>
        <v>202129033218</v>
      </c>
      <c r="E3381" s="10" t="s">
        <v>27</v>
      </c>
      <c r="F3381" s="6" t="s">
        <v>11</v>
      </c>
      <c r="G3381" s="8">
        <v>57.75</v>
      </c>
      <c r="H3381" s="6"/>
    </row>
    <row r="3382" spans="1:8">
      <c r="A3382" s="5">
        <v>3225</v>
      </c>
      <c r="B3382" s="6" t="str">
        <f>"杨三妹"</f>
        <v>杨三妹</v>
      </c>
      <c r="C3382" s="6" t="str">
        <f>"女"</f>
        <v>女</v>
      </c>
      <c r="D3382" s="6" t="str">
        <f>"202129033219"</f>
        <v>202129033219</v>
      </c>
      <c r="E3382" s="10" t="s">
        <v>27</v>
      </c>
      <c r="F3382" s="6" t="s">
        <v>11</v>
      </c>
      <c r="G3382" s="8">
        <v>84.6</v>
      </c>
      <c r="H3382" s="6"/>
    </row>
    <row r="3383" spans="1:8">
      <c r="A3383" s="5">
        <v>2872</v>
      </c>
      <c r="B3383" s="6" t="str">
        <f>"龙海艳"</f>
        <v>龙海艳</v>
      </c>
      <c r="C3383" s="6" t="str">
        <f>"女"</f>
        <v>女</v>
      </c>
      <c r="D3383" s="6" t="str">
        <f>"202129033220"</f>
        <v>202129033220</v>
      </c>
      <c r="E3383" s="10" t="s">
        <v>27</v>
      </c>
      <c r="F3383" s="6" t="s">
        <v>11</v>
      </c>
      <c r="G3383" s="8">
        <v>84.35</v>
      </c>
      <c r="H3383" s="6"/>
    </row>
    <row r="3384" spans="1:8">
      <c r="A3384" s="5">
        <v>3270</v>
      </c>
      <c r="B3384" s="6" t="str">
        <f>"唐宁"</f>
        <v>唐宁</v>
      </c>
      <c r="C3384" s="6" t="str">
        <f>"男"</f>
        <v>男</v>
      </c>
      <c r="D3384" s="6" t="str">
        <f>"202129033221"</f>
        <v>202129033221</v>
      </c>
      <c r="E3384" s="10" t="s">
        <v>27</v>
      </c>
      <c r="F3384" s="6" t="s">
        <v>11</v>
      </c>
      <c r="G3384" s="8">
        <v>0</v>
      </c>
      <c r="H3384" s="9">
        <v>1</v>
      </c>
    </row>
    <row r="3385" spans="1:8">
      <c r="A3385" s="5">
        <v>2848</v>
      </c>
      <c r="B3385" s="6" t="str">
        <f>"李珊妹"</f>
        <v>李珊妹</v>
      </c>
      <c r="C3385" s="6" t="str">
        <f t="shared" ref="C3385:C3390" si="159">"女"</f>
        <v>女</v>
      </c>
      <c r="D3385" s="6" t="str">
        <f>"202129033222"</f>
        <v>202129033222</v>
      </c>
      <c r="E3385" s="10" t="s">
        <v>27</v>
      </c>
      <c r="F3385" s="6" t="s">
        <v>11</v>
      </c>
      <c r="G3385" s="8">
        <v>85.1</v>
      </c>
      <c r="H3385" s="6"/>
    </row>
    <row r="3386" spans="1:8">
      <c r="A3386" s="5">
        <v>3110</v>
      </c>
      <c r="B3386" s="6" t="str">
        <f>"廖凤华"</f>
        <v>廖凤华</v>
      </c>
      <c r="C3386" s="6" t="str">
        <f t="shared" si="159"/>
        <v>女</v>
      </c>
      <c r="D3386" s="6" t="str">
        <f>"202129033223"</f>
        <v>202129033223</v>
      </c>
      <c r="E3386" s="10" t="s">
        <v>27</v>
      </c>
      <c r="F3386" s="6" t="s">
        <v>11</v>
      </c>
      <c r="G3386" s="8">
        <v>85.15</v>
      </c>
      <c r="H3386" s="6"/>
    </row>
    <row r="3387" spans="1:8">
      <c r="A3387" s="5">
        <v>2828</v>
      </c>
      <c r="B3387" s="6" t="str">
        <f>"王昕燏"</f>
        <v>王昕燏</v>
      </c>
      <c r="C3387" s="6" t="str">
        <f t="shared" si="159"/>
        <v>女</v>
      </c>
      <c r="D3387" s="6" t="str">
        <f>"202129033224"</f>
        <v>202129033224</v>
      </c>
      <c r="E3387" s="10" t="s">
        <v>27</v>
      </c>
      <c r="F3387" s="6" t="s">
        <v>11</v>
      </c>
      <c r="G3387" s="8">
        <v>61.9</v>
      </c>
      <c r="H3387" s="6"/>
    </row>
    <row r="3388" spans="1:8">
      <c r="A3388" s="5">
        <v>2833</v>
      </c>
      <c r="B3388" s="6" t="str">
        <f>"高琴"</f>
        <v>高琴</v>
      </c>
      <c r="C3388" s="6" t="str">
        <f t="shared" si="159"/>
        <v>女</v>
      </c>
      <c r="D3388" s="6" t="str">
        <f>"202129033225"</f>
        <v>202129033225</v>
      </c>
      <c r="E3388" s="10" t="s">
        <v>27</v>
      </c>
      <c r="F3388" s="6" t="s">
        <v>11</v>
      </c>
      <c r="G3388" s="8">
        <v>70.45</v>
      </c>
      <c r="H3388" s="6"/>
    </row>
    <row r="3389" spans="1:8">
      <c r="A3389" s="5">
        <v>2756</v>
      </c>
      <c r="B3389" s="6" t="str">
        <f>"王艳琼"</f>
        <v>王艳琼</v>
      </c>
      <c r="C3389" s="6" t="str">
        <f t="shared" si="159"/>
        <v>女</v>
      </c>
      <c r="D3389" s="6" t="str">
        <f>"202129033226"</f>
        <v>202129033226</v>
      </c>
      <c r="E3389" s="10" t="s">
        <v>27</v>
      </c>
      <c r="F3389" s="6" t="s">
        <v>11</v>
      </c>
      <c r="G3389" s="8">
        <v>0</v>
      </c>
      <c r="H3389" s="9">
        <v>1</v>
      </c>
    </row>
    <row r="3390" spans="1:8">
      <c r="A3390" s="5">
        <v>2878</v>
      </c>
      <c r="B3390" s="6" t="str">
        <f>"何翠竹"</f>
        <v>何翠竹</v>
      </c>
      <c r="C3390" s="6" t="str">
        <f t="shared" si="159"/>
        <v>女</v>
      </c>
      <c r="D3390" s="6" t="str">
        <f>"202129033227"</f>
        <v>202129033227</v>
      </c>
      <c r="E3390" s="10" t="s">
        <v>27</v>
      </c>
      <c r="F3390" s="6" t="s">
        <v>11</v>
      </c>
      <c r="G3390" s="8">
        <v>78.2</v>
      </c>
      <c r="H3390" s="6"/>
    </row>
    <row r="3391" spans="1:8">
      <c r="A3391" s="5">
        <v>2868</v>
      </c>
      <c r="B3391" s="6" t="str">
        <f>"刘策"</f>
        <v>刘策</v>
      </c>
      <c r="C3391" s="6" t="str">
        <f>"男"</f>
        <v>男</v>
      </c>
      <c r="D3391" s="6" t="str">
        <f>"202129033228"</f>
        <v>202129033228</v>
      </c>
      <c r="E3391" s="10" t="s">
        <v>27</v>
      </c>
      <c r="F3391" s="6" t="s">
        <v>11</v>
      </c>
      <c r="G3391" s="8">
        <v>83.85</v>
      </c>
      <c r="H3391" s="6"/>
    </row>
    <row r="3392" spans="1:8">
      <c r="A3392" s="5">
        <v>2892</v>
      </c>
      <c r="B3392" s="6" t="str">
        <f>"伍梵"</f>
        <v>伍梵</v>
      </c>
      <c r="C3392" s="6" t="str">
        <f>"男"</f>
        <v>男</v>
      </c>
      <c r="D3392" s="6" t="str">
        <f>"202129033229"</f>
        <v>202129033229</v>
      </c>
      <c r="E3392" s="10" t="s">
        <v>27</v>
      </c>
      <c r="F3392" s="6" t="s">
        <v>11</v>
      </c>
      <c r="G3392" s="8">
        <v>87.5</v>
      </c>
      <c r="H3392" s="6"/>
    </row>
    <row r="3393" spans="1:8">
      <c r="A3393" s="5">
        <v>3018</v>
      </c>
      <c r="B3393" s="6" t="str">
        <f>"刘婷"</f>
        <v>刘婷</v>
      </c>
      <c r="C3393" s="6" t="str">
        <f>"女"</f>
        <v>女</v>
      </c>
      <c r="D3393" s="6" t="str">
        <f>"202129033230"</f>
        <v>202129033230</v>
      </c>
      <c r="E3393" s="10" t="s">
        <v>27</v>
      </c>
      <c r="F3393" s="6" t="s">
        <v>11</v>
      </c>
      <c r="G3393" s="8">
        <v>61</v>
      </c>
      <c r="H3393" s="6"/>
    </row>
    <row r="3394" spans="1:8">
      <c r="A3394" s="5">
        <v>2819</v>
      </c>
      <c r="B3394" s="6" t="str">
        <f>"罗云霞"</f>
        <v>罗云霞</v>
      </c>
      <c r="C3394" s="6" t="str">
        <f>"女"</f>
        <v>女</v>
      </c>
      <c r="D3394" s="6" t="str">
        <f>"202129033301"</f>
        <v>202129033301</v>
      </c>
      <c r="E3394" s="10" t="s">
        <v>27</v>
      </c>
      <c r="F3394" s="6" t="s">
        <v>11</v>
      </c>
      <c r="G3394" s="8">
        <v>0</v>
      </c>
      <c r="H3394" s="9">
        <v>1</v>
      </c>
    </row>
    <row r="3395" spans="1:8">
      <c r="A3395" s="5">
        <v>3090</v>
      </c>
      <c r="B3395" s="6" t="str">
        <f>"鲁哲伟"</f>
        <v>鲁哲伟</v>
      </c>
      <c r="C3395" s="6" t="str">
        <f>"男"</f>
        <v>男</v>
      </c>
      <c r="D3395" s="6" t="str">
        <f>"202129033302"</f>
        <v>202129033302</v>
      </c>
      <c r="E3395" s="10" t="s">
        <v>27</v>
      </c>
      <c r="F3395" s="6" t="s">
        <v>11</v>
      </c>
      <c r="G3395" s="8">
        <v>80.150000000000006</v>
      </c>
      <c r="H3395" s="6"/>
    </row>
    <row r="3396" spans="1:8">
      <c r="A3396" s="5">
        <v>3138</v>
      </c>
      <c r="B3396" s="6" t="str">
        <f>"朱倩"</f>
        <v>朱倩</v>
      </c>
      <c r="C3396" s="6" t="str">
        <f>"女"</f>
        <v>女</v>
      </c>
      <c r="D3396" s="6" t="str">
        <f>"202129033303"</f>
        <v>202129033303</v>
      </c>
      <c r="E3396" s="10" t="s">
        <v>27</v>
      </c>
      <c r="F3396" s="6" t="s">
        <v>11</v>
      </c>
      <c r="G3396" s="8">
        <v>72.7</v>
      </c>
      <c r="H3396" s="6"/>
    </row>
    <row r="3397" spans="1:8">
      <c r="A3397" s="5">
        <v>3140</v>
      </c>
      <c r="B3397" s="6" t="str">
        <f>"吴媛媛"</f>
        <v>吴媛媛</v>
      </c>
      <c r="C3397" s="6" t="str">
        <f>"女"</f>
        <v>女</v>
      </c>
      <c r="D3397" s="6" t="str">
        <f>"202129033304"</f>
        <v>202129033304</v>
      </c>
      <c r="E3397" s="10" t="s">
        <v>27</v>
      </c>
      <c r="F3397" s="6" t="s">
        <v>11</v>
      </c>
      <c r="G3397" s="8">
        <v>68.5</v>
      </c>
      <c r="H3397" s="6"/>
    </row>
    <row r="3398" spans="1:8">
      <c r="A3398" s="5">
        <v>3034</v>
      </c>
      <c r="B3398" s="6" t="str">
        <f>"周金枝"</f>
        <v>周金枝</v>
      </c>
      <c r="C3398" s="6" t="str">
        <f>"女"</f>
        <v>女</v>
      </c>
      <c r="D3398" s="6" t="str">
        <f>"202129033305"</f>
        <v>202129033305</v>
      </c>
      <c r="E3398" s="10" t="s">
        <v>27</v>
      </c>
      <c r="F3398" s="6" t="s">
        <v>11</v>
      </c>
      <c r="G3398" s="8">
        <v>41.55</v>
      </c>
      <c r="H3398" s="6"/>
    </row>
    <row r="3399" spans="1:8">
      <c r="A3399" s="5">
        <v>3086</v>
      </c>
      <c r="B3399" s="6" t="str">
        <f>"李俊杰"</f>
        <v>李俊杰</v>
      </c>
      <c r="C3399" s="6" t="str">
        <f>"男"</f>
        <v>男</v>
      </c>
      <c r="D3399" s="6" t="str">
        <f>"202129033306"</f>
        <v>202129033306</v>
      </c>
      <c r="E3399" s="10" t="s">
        <v>27</v>
      </c>
      <c r="F3399" s="6" t="s">
        <v>11</v>
      </c>
      <c r="G3399" s="8">
        <v>80.849999999999994</v>
      </c>
      <c r="H3399" s="6"/>
    </row>
    <row r="3400" spans="1:8">
      <c r="A3400" s="5">
        <v>2760</v>
      </c>
      <c r="B3400" s="6" t="str">
        <f>"薛茹芸"</f>
        <v>薛茹芸</v>
      </c>
      <c r="C3400" s="6" t="str">
        <f>"女"</f>
        <v>女</v>
      </c>
      <c r="D3400" s="6" t="str">
        <f>"202129033307"</f>
        <v>202129033307</v>
      </c>
      <c r="E3400" s="10" t="s">
        <v>27</v>
      </c>
      <c r="F3400" s="6" t="s">
        <v>11</v>
      </c>
      <c r="G3400" s="8">
        <v>0</v>
      </c>
      <c r="H3400" s="9">
        <v>1</v>
      </c>
    </row>
    <row r="3401" spans="1:8">
      <c r="A3401" s="5">
        <v>2930</v>
      </c>
      <c r="B3401" s="6" t="str">
        <f>"刘新"</f>
        <v>刘新</v>
      </c>
      <c r="C3401" s="6" t="str">
        <f>"男"</f>
        <v>男</v>
      </c>
      <c r="D3401" s="6" t="str">
        <f>"202129033308"</f>
        <v>202129033308</v>
      </c>
      <c r="E3401" s="10" t="s">
        <v>27</v>
      </c>
      <c r="F3401" s="6" t="s">
        <v>11</v>
      </c>
      <c r="G3401" s="8">
        <v>85.6</v>
      </c>
      <c r="H3401" s="6"/>
    </row>
    <row r="3402" spans="1:8">
      <c r="A3402" s="5">
        <v>3230</v>
      </c>
      <c r="B3402" s="6" t="str">
        <f>"刘任"</f>
        <v>刘任</v>
      </c>
      <c r="C3402" s="6" t="str">
        <f>"男"</f>
        <v>男</v>
      </c>
      <c r="D3402" s="6" t="str">
        <f>"202129033309"</f>
        <v>202129033309</v>
      </c>
      <c r="E3402" s="10" t="s">
        <v>27</v>
      </c>
      <c r="F3402" s="6" t="s">
        <v>11</v>
      </c>
      <c r="G3402" s="8">
        <v>83.9</v>
      </c>
      <c r="H3402" s="6"/>
    </row>
    <row r="3403" spans="1:8">
      <c r="A3403" s="5">
        <v>2908</v>
      </c>
      <c r="B3403" s="6" t="str">
        <f>"杨恺鹏"</f>
        <v>杨恺鹏</v>
      </c>
      <c r="C3403" s="6" t="str">
        <f>"男"</f>
        <v>男</v>
      </c>
      <c r="D3403" s="6" t="str">
        <f>"202129033310"</f>
        <v>202129033310</v>
      </c>
      <c r="E3403" s="10" t="s">
        <v>27</v>
      </c>
      <c r="F3403" s="6" t="s">
        <v>11</v>
      </c>
      <c r="G3403" s="8">
        <v>79.3</v>
      </c>
      <c r="H3403" s="6"/>
    </row>
    <row r="3404" spans="1:8">
      <c r="A3404" s="5">
        <v>2914</v>
      </c>
      <c r="B3404" s="6" t="str">
        <f>"欧阳利娜"</f>
        <v>欧阳利娜</v>
      </c>
      <c r="C3404" s="6" t="str">
        <f>"女"</f>
        <v>女</v>
      </c>
      <c r="D3404" s="6" t="str">
        <f>"202129033311"</f>
        <v>202129033311</v>
      </c>
      <c r="E3404" s="10" t="s">
        <v>27</v>
      </c>
      <c r="F3404" s="6" t="s">
        <v>11</v>
      </c>
      <c r="G3404" s="8">
        <v>0</v>
      </c>
      <c r="H3404" s="9">
        <v>1</v>
      </c>
    </row>
    <row r="3405" spans="1:8">
      <c r="A3405" s="5">
        <v>2869</v>
      </c>
      <c r="B3405" s="6" t="str">
        <f>"钟旭辉"</f>
        <v>钟旭辉</v>
      </c>
      <c r="C3405" s="6" t="str">
        <f>"男"</f>
        <v>男</v>
      </c>
      <c r="D3405" s="6" t="str">
        <f>"202129033312"</f>
        <v>202129033312</v>
      </c>
      <c r="E3405" s="10" t="s">
        <v>27</v>
      </c>
      <c r="F3405" s="6" t="s">
        <v>11</v>
      </c>
      <c r="G3405" s="8">
        <v>59</v>
      </c>
      <c r="H3405" s="6"/>
    </row>
    <row r="3406" spans="1:8">
      <c r="A3406" s="5">
        <v>2822</v>
      </c>
      <c r="B3406" s="6" t="str">
        <f>"尹爱丽"</f>
        <v>尹爱丽</v>
      </c>
      <c r="C3406" s="6" t="str">
        <f>"女"</f>
        <v>女</v>
      </c>
      <c r="D3406" s="6" t="str">
        <f>"202129033313"</f>
        <v>202129033313</v>
      </c>
      <c r="E3406" s="10" t="s">
        <v>27</v>
      </c>
      <c r="F3406" s="6" t="s">
        <v>11</v>
      </c>
      <c r="G3406" s="8">
        <v>0</v>
      </c>
      <c r="H3406" s="9">
        <v>1</v>
      </c>
    </row>
    <row r="3407" spans="1:8">
      <c r="A3407" s="5">
        <v>2903</v>
      </c>
      <c r="B3407" s="6" t="str">
        <f>"雷玉红"</f>
        <v>雷玉红</v>
      </c>
      <c r="C3407" s="6" t="str">
        <f>"女"</f>
        <v>女</v>
      </c>
      <c r="D3407" s="6" t="str">
        <f>"202129033314"</f>
        <v>202129033314</v>
      </c>
      <c r="E3407" s="10" t="s">
        <v>27</v>
      </c>
      <c r="F3407" s="6" t="s">
        <v>11</v>
      </c>
      <c r="G3407" s="8">
        <v>45.75</v>
      </c>
      <c r="H3407" s="6"/>
    </row>
    <row r="3408" spans="1:8">
      <c r="A3408" s="5">
        <v>2961</v>
      </c>
      <c r="B3408" s="6" t="str">
        <f>"胡国耘"</f>
        <v>胡国耘</v>
      </c>
      <c r="C3408" s="6" t="str">
        <f>"男"</f>
        <v>男</v>
      </c>
      <c r="D3408" s="6" t="str">
        <f>"202129033315"</f>
        <v>202129033315</v>
      </c>
      <c r="E3408" s="10" t="s">
        <v>27</v>
      </c>
      <c r="F3408" s="6" t="s">
        <v>11</v>
      </c>
      <c r="G3408" s="8">
        <v>89.25</v>
      </c>
      <c r="H3408" s="6"/>
    </row>
    <row r="3409" spans="1:8">
      <c r="A3409" s="5">
        <v>3220</v>
      </c>
      <c r="B3409" s="6" t="str">
        <f>"钱莉亚"</f>
        <v>钱莉亚</v>
      </c>
      <c r="C3409" s="6" t="str">
        <f>"女"</f>
        <v>女</v>
      </c>
      <c r="D3409" s="6" t="str">
        <f>"202129033316"</f>
        <v>202129033316</v>
      </c>
      <c r="E3409" s="10" t="s">
        <v>27</v>
      </c>
      <c r="F3409" s="6" t="s">
        <v>11</v>
      </c>
      <c r="G3409" s="8">
        <v>72.099999999999994</v>
      </c>
      <c r="H3409" s="6"/>
    </row>
    <row r="3410" spans="1:8">
      <c r="A3410" s="5">
        <v>2882</v>
      </c>
      <c r="B3410" s="6" t="str">
        <f>"谷亚萍"</f>
        <v>谷亚萍</v>
      </c>
      <c r="C3410" s="6" t="str">
        <f>"女"</f>
        <v>女</v>
      </c>
      <c r="D3410" s="6" t="str">
        <f>"202129033317"</f>
        <v>202129033317</v>
      </c>
      <c r="E3410" s="10" t="s">
        <v>27</v>
      </c>
      <c r="F3410" s="6" t="s">
        <v>11</v>
      </c>
      <c r="G3410" s="8">
        <v>39.9</v>
      </c>
      <c r="H3410" s="6"/>
    </row>
    <row r="3411" spans="1:8">
      <c r="A3411" s="5">
        <v>2999</v>
      </c>
      <c r="B3411" s="6" t="str">
        <f>"吴晓杰"</f>
        <v>吴晓杰</v>
      </c>
      <c r="C3411" s="6" t="str">
        <f>"男"</f>
        <v>男</v>
      </c>
      <c r="D3411" s="6" t="str">
        <f>"202129033318"</f>
        <v>202129033318</v>
      </c>
      <c r="E3411" s="10" t="s">
        <v>27</v>
      </c>
      <c r="F3411" s="6" t="s">
        <v>11</v>
      </c>
      <c r="G3411" s="8">
        <v>88.3</v>
      </c>
      <c r="H3411" s="6"/>
    </row>
    <row r="3412" spans="1:8">
      <c r="A3412" s="5">
        <v>2818</v>
      </c>
      <c r="B3412" s="6" t="str">
        <f>"姜碧瑜"</f>
        <v>姜碧瑜</v>
      </c>
      <c r="C3412" s="6" t="str">
        <f t="shared" ref="C3412:C3421" si="160">"女"</f>
        <v>女</v>
      </c>
      <c r="D3412" s="6" t="str">
        <f>"202129033319"</f>
        <v>202129033319</v>
      </c>
      <c r="E3412" s="10" t="s">
        <v>27</v>
      </c>
      <c r="F3412" s="6" t="s">
        <v>11</v>
      </c>
      <c r="G3412" s="8">
        <v>75.2</v>
      </c>
      <c r="H3412" s="6"/>
    </row>
    <row r="3413" spans="1:8">
      <c r="A3413" s="5">
        <v>2758</v>
      </c>
      <c r="B3413" s="6" t="str">
        <f>"曾任飞"</f>
        <v>曾任飞</v>
      </c>
      <c r="C3413" s="6" t="str">
        <f t="shared" si="160"/>
        <v>女</v>
      </c>
      <c r="D3413" s="6" t="str">
        <f>"202129033320"</f>
        <v>202129033320</v>
      </c>
      <c r="E3413" s="10" t="s">
        <v>27</v>
      </c>
      <c r="F3413" s="6" t="s">
        <v>11</v>
      </c>
      <c r="G3413" s="8">
        <v>0</v>
      </c>
      <c r="H3413" s="9">
        <v>1</v>
      </c>
    </row>
    <row r="3414" spans="1:8">
      <c r="A3414" s="5">
        <v>3015</v>
      </c>
      <c r="B3414" s="6" t="str">
        <f>"胡艳"</f>
        <v>胡艳</v>
      </c>
      <c r="C3414" s="6" t="str">
        <f t="shared" si="160"/>
        <v>女</v>
      </c>
      <c r="D3414" s="6" t="str">
        <f>"202129033321"</f>
        <v>202129033321</v>
      </c>
      <c r="E3414" s="10" t="s">
        <v>27</v>
      </c>
      <c r="F3414" s="6" t="s">
        <v>11</v>
      </c>
      <c r="G3414" s="8">
        <v>77.75</v>
      </c>
      <c r="H3414" s="6"/>
    </row>
    <row r="3415" spans="1:8">
      <c r="A3415" s="5">
        <v>2894</v>
      </c>
      <c r="B3415" s="6" t="str">
        <f>"邓讴阳"</f>
        <v>邓讴阳</v>
      </c>
      <c r="C3415" s="6" t="str">
        <f t="shared" si="160"/>
        <v>女</v>
      </c>
      <c r="D3415" s="6" t="str">
        <f>"202129033322"</f>
        <v>202129033322</v>
      </c>
      <c r="E3415" s="10" t="s">
        <v>27</v>
      </c>
      <c r="F3415" s="6" t="s">
        <v>11</v>
      </c>
      <c r="G3415" s="8">
        <v>85.3</v>
      </c>
      <c r="H3415" s="6"/>
    </row>
    <row r="3416" spans="1:8">
      <c r="A3416" s="5">
        <v>3215</v>
      </c>
      <c r="B3416" s="6" t="str">
        <f>"刘小培"</f>
        <v>刘小培</v>
      </c>
      <c r="C3416" s="6" t="str">
        <f t="shared" si="160"/>
        <v>女</v>
      </c>
      <c r="D3416" s="6" t="str">
        <f>"202129033323"</f>
        <v>202129033323</v>
      </c>
      <c r="E3416" s="10" t="s">
        <v>27</v>
      </c>
      <c r="F3416" s="6" t="s">
        <v>11</v>
      </c>
      <c r="G3416" s="8">
        <v>63.7</v>
      </c>
      <c r="H3416" s="6"/>
    </row>
    <row r="3417" spans="1:8">
      <c r="A3417" s="5">
        <v>3139</v>
      </c>
      <c r="B3417" s="6" t="str">
        <f>"李叶"</f>
        <v>李叶</v>
      </c>
      <c r="C3417" s="6" t="str">
        <f t="shared" si="160"/>
        <v>女</v>
      </c>
      <c r="D3417" s="6" t="str">
        <f>"202129033324"</f>
        <v>202129033324</v>
      </c>
      <c r="E3417" s="10" t="s">
        <v>27</v>
      </c>
      <c r="F3417" s="6" t="s">
        <v>11</v>
      </c>
      <c r="G3417" s="8">
        <v>68.3</v>
      </c>
      <c r="H3417" s="6"/>
    </row>
    <row r="3418" spans="1:8">
      <c r="A3418" s="5">
        <v>3172</v>
      </c>
      <c r="B3418" s="6" t="str">
        <f>"易翠方"</f>
        <v>易翠方</v>
      </c>
      <c r="C3418" s="6" t="str">
        <f t="shared" si="160"/>
        <v>女</v>
      </c>
      <c r="D3418" s="6" t="str">
        <f>"202129033325"</f>
        <v>202129033325</v>
      </c>
      <c r="E3418" s="10" t="s">
        <v>27</v>
      </c>
      <c r="F3418" s="6" t="s">
        <v>11</v>
      </c>
      <c r="G3418" s="8">
        <v>86.2</v>
      </c>
      <c r="H3418" s="6"/>
    </row>
    <row r="3419" spans="1:8">
      <c r="A3419" s="5">
        <v>2798</v>
      </c>
      <c r="B3419" s="6" t="str">
        <f>"王艳艳"</f>
        <v>王艳艳</v>
      </c>
      <c r="C3419" s="6" t="str">
        <f t="shared" si="160"/>
        <v>女</v>
      </c>
      <c r="D3419" s="6" t="str">
        <f>"202129033326"</f>
        <v>202129033326</v>
      </c>
      <c r="E3419" s="10" t="s">
        <v>27</v>
      </c>
      <c r="F3419" s="6" t="s">
        <v>11</v>
      </c>
      <c r="G3419" s="8">
        <v>63.2</v>
      </c>
      <c r="H3419" s="6"/>
    </row>
    <row r="3420" spans="1:8">
      <c r="A3420" s="5">
        <v>2874</v>
      </c>
      <c r="B3420" s="6" t="str">
        <f>"杨蓉"</f>
        <v>杨蓉</v>
      </c>
      <c r="C3420" s="6" t="str">
        <f t="shared" si="160"/>
        <v>女</v>
      </c>
      <c r="D3420" s="6" t="str">
        <f>"202129033327"</f>
        <v>202129033327</v>
      </c>
      <c r="E3420" s="10" t="s">
        <v>27</v>
      </c>
      <c r="F3420" s="6" t="s">
        <v>11</v>
      </c>
      <c r="G3420" s="8">
        <v>86</v>
      </c>
      <c r="H3420" s="6"/>
    </row>
    <row r="3421" spans="1:8">
      <c r="A3421" s="5">
        <v>3115</v>
      </c>
      <c r="B3421" s="6" t="str">
        <f>"曾琳雅"</f>
        <v>曾琳雅</v>
      </c>
      <c r="C3421" s="6" t="str">
        <f t="shared" si="160"/>
        <v>女</v>
      </c>
      <c r="D3421" s="6" t="str">
        <f>"202129033328"</f>
        <v>202129033328</v>
      </c>
      <c r="E3421" s="10" t="s">
        <v>27</v>
      </c>
      <c r="F3421" s="6" t="s">
        <v>11</v>
      </c>
      <c r="G3421" s="8">
        <v>68.75</v>
      </c>
      <c r="H3421" s="6"/>
    </row>
    <row r="3422" spans="1:8">
      <c r="A3422" s="5">
        <v>2865</v>
      </c>
      <c r="B3422" s="6" t="str">
        <f>"王治"</f>
        <v>王治</v>
      </c>
      <c r="C3422" s="6" t="str">
        <f>"男"</f>
        <v>男</v>
      </c>
      <c r="D3422" s="6" t="str">
        <f>"202129033329"</f>
        <v>202129033329</v>
      </c>
      <c r="E3422" s="10" t="s">
        <v>27</v>
      </c>
      <c r="F3422" s="6" t="s">
        <v>11</v>
      </c>
      <c r="G3422" s="8">
        <v>88.3</v>
      </c>
      <c r="H3422" s="6"/>
    </row>
    <row r="3423" spans="1:8">
      <c r="A3423" s="5">
        <v>3055</v>
      </c>
      <c r="B3423" s="6" t="str">
        <f>"杨洁"</f>
        <v>杨洁</v>
      </c>
      <c r="C3423" s="6" t="str">
        <f>"女"</f>
        <v>女</v>
      </c>
      <c r="D3423" s="6" t="str">
        <f>"202129033330"</f>
        <v>202129033330</v>
      </c>
      <c r="E3423" s="10" t="s">
        <v>27</v>
      </c>
      <c r="F3423" s="6" t="s">
        <v>11</v>
      </c>
      <c r="G3423" s="8">
        <v>58.65</v>
      </c>
      <c r="H3423" s="6"/>
    </row>
    <row r="3424" spans="1:8">
      <c r="A3424" s="5">
        <v>2794</v>
      </c>
      <c r="B3424" s="6" t="str">
        <f>"周君"</f>
        <v>周君</v>
      </c>
      <c r="C3424" s="6" t="str">
        <f>"女"</f>
        <v>女</v>
      </c>
      <c r="D3424" s="6" t="str">
        <f>"202129033401"</f>
        <v>202129033401</v>
      </c>
      <c r="E3424" s="10" t="s">
        <v>27</v>
      </c>
      <c r="F3424" s="6" t="s">
        <v>11</v>
      </c>
      <c r="G3424" s="8">
        <v>70.45</v>
      </c>
      <c r="H3424" s="6"/>
    </row>
    <row r="3425" spans="1:8">
      <c r="A3425" s="5">
        <v>3016</v>
      </c>
      <c r="B3425" s="6" t="str">
        <f>"戴健键"</f>
        <v>戴健键</v>
      </c>
      <c r="C3425" s="6" t="str">
        <f>"男"</f>
        <v>男</v>
      </c>
      <c r="D3425" s="6" t="str">
        <f>"202129033402"</f>
        <v>202129033402</v>
      </c>
      <c r="E3425" s="10" t="s">
        <v>27</v>
      </c>
      <c r="F3425" s="6" t="s">
        <v>11</v>
      </c>
      <c r="G3425" s="8">
        <v>76.95</v>
      </c>
      <c r="H3425" s="6"/>
    </row>
    <row r="3426" spans="1:8">
      <c r="A3426" s="5">
        <v>3258</v>
      </c>
      <c r="B3426" s="6" t="str">
        <f>"隆海波"</f>
        <v>隆海波</v>
      </c>
      <c r="C3426" s="6" t="str">
        <f>"女"</f>
        <v>女</v>
      </c>
      <c r="D3426" s="6" t="str">
        <f>"202129033403"</f>
        <v>202129033403</v>
      </c>
      <c r="E3426" s="10" t="s">
        <v>27</v>
      </c>
      <c r="F3426" s="6" t="s">
        <v>11</v>
      </c>
      <c r="G3426" s="8">
        <v>0</v>
      </c>
      <c r="H3426" s="9">
        <v>1</v>
      </c>
    </row>
    <row r="3427" spans="1:8">
      <c r="A3427" s="5">
        <v>2840</v>
      </c>
      <c r="B3427" s="6" t="str">
        <f>"曾少敏"</f>
        <v>曾少敏</v>
      </c>
      <c r="C3427" s="6" t="str">
        <f>"女"</f>
        <v>女</v>
      </c>
      <c r="D3427" s="6" t="str">
        <f>"202129033404"</f>
        <v>202129033404</v>
      </c>
      <c r="E3427" s="10" t="s">
        <v>27</v>
      </c>
      <c r="F3427" s="6" t="s">
        <v>11</v>
      </c>
      <c r="G3427" s="8">
        <v>85.35</v>
      </c>
      <c r="H3427" s="6"/>
    </row>
    <row r="3428" spans="1:8">
      <c r="A3428" s="5">
        <v>3173</v>
      </c>
      <c r="B3428" s="6" t="str">
        <f>"肖蕾"</f>
        <v>肖蕾</v>
      </c>
      <c r="C3428" s="6" t="str">
        <f>"女"</f>
        <v>女</v>
      </c>
      <c r="D3428" s="6" t="str">
        <f>"202129033405"</f>
        <v>202129033405</v>
      </c>
      <c r="E3428" s="10" t="s">
        <v>27</v>
      </c>
      <c r="F3428" s="6" t="s">
        <v>11</v>
      </c>
      <c r="G3428" s="8">
        <v>60.3</v>
      </c>
      <c r="H3428" s="6"/>
    </row>
    <row r="3429" spans="1:8">
      <c r="A3429" s="5">
        <v>3239</v>
      </c>
      <c r="B3429" s="6" t="str">
        <f>"卢旭凤"</f>
        <v>卢旭凤</v>
      </c>
      <c r="C3429" s="6" t="str">
        <f>"女"</f>
        <v>女</v>
      </c>
      <c r="D3429" s="6" t="str">
        <f>"202129033406"</f>
        <v>202129033406</v>
      </c>
      <c r="E3429" s="10" t="s">
        <v>27</v>
      </c>
      <c r="F3429" s="6" t="s">
        <v>11</v>
      </c>
      <c r="G3429" s="8">
        <v>74.8</v>
      </c>
      <c r="H3429" s="6"/>
    </row>
    <row r="3430" spans="1:8">
      <c r="A3430" s="5">
        <v>3035</v>
      </c>
      <c r="B3430" s="6" t="str">
        <f>"李叔隐"</f>
        <v>李叔隐</v>
      </c>
      <c r="C3430" s="6" t="str">
        <f>"女"</f>
        <v>女</v>
      </c>
      <c r="D3430" s="6" t="str">
        <f>"202129033407"</f>
        <v>202129033407</v>
      </c>
      <c r="E3430" s="10" t="s">
        <v>27</v>
      </c>
      <c r="F3430" s="6" t="s">
        <v>11</v>
      </c>
      <c r="G3430" s="8">
        <v>74.849999999999994</v>
      </c>
      <c r="H3430" s="6"/>
    </row>
    <row r="3431" spans="1:8">
      <c r="A3431" s="5">
        <v>3132</v>
      </c>
      <c r="B3431" s="6" t="str">
        <f>"徐烽"</f>
        <v>徐烽</v>
      </c>
      <c r="C3431" s="6" t="str">
        <f>"男"</f>
        <v>男</v>
      </c>
      <c r="D3431" s="6" t="str">
        <f>"202129033408"</f>
        <v>202129033408</v>
      </c>
      <c r="E3431" s="10" t="s">
        <v>27</v>
      </c>
      <c r="F3431" s="6" t="s">
        <v>11</v>
      </c>
      <c r="G3431" s="8">
        <v>75.650000000000006</v>
      </c>
      <c r="H3431" s="6"/>
    </row>
    <row r="3432" spans="1:8">
      <c r="A3432" s="5">
        <v>2776</v>
      </c>
      <c r="B3432" s="6" t="str">
        <f>"唐银花"</f>
        <v>唐银花</v>
      </c>
      <c r="C3432" s="6" t="str">
        <f t="shared" ref="C3432:C3447" si="161">"女"</f>
        <v>女</v>
      </c>
      <c r="D3432" s="6" t="str">
        <f>"202129033409"</f>
        <v>202129033409</v>
      </c>
      <c r="E3432" s="10" t="s">
        <v>27</v>
      </c>
      <c r="F3432" s="6" t="s">
        <v>11</v>
      </c>
      <c r="G3432" s="8">
        <v>78.75</v>
      </c>
      <c r="H3432" s="6"/>
    </row>
    <row r="3433" spans="1:8">
      <c r="A3433" s="5">
        <v>3227</v>
      </c>
      <c r="B3433" s="6" t="str">
        <f>"陈姣"</f>
        <v>陈姣</v>
      </c>
      <c r="C3433" s="6" t="str">
        <f t="shared" si="161"/>
        <v>女</v>
      </c>
      <c r="D3433" s="6" t="str">
        <f>"202129033410"</f>
        <v>202129033410</v>
      </c>
      <c r="E3433" s="10" t="s">
        <v>27</v>
      </c>
      <c r="F3433" s="6" t="s">
        <v>11</v>
      </c>
      <c r="G3433" s="8">
        <v>70.25</v>
      </c>
      <c r="H3433" s="6"/>
    </row>
    <row r="3434" spans="1:8">
      <c r="A3434" s="5">
        <v>2793</v>
      </c>
      <c r="B3434" s="6" t="str">
        <f>"伍明明"</f>
        <v>伍明明</v>
      </c>
      <c r="C3434" s="6" t="str">
        <f t="shared" si="161"/>
        <v>女</v>
      </c>
      <c r="D3434" s="6" t="str">
        <f>"202129033411"</f>
        <v>202129033411</v>
      </c>
      <c r="E3434" s="10" t="s">
        <v>27</v>
      </c>
      <c r="F3434" s="6" t="s">
        <v>11</v>
      </c>
      <c r="G3434" s="8">
        <v>45.4</v>
      </c>
      <c r="H3434" s="6"/>
    </row>
    <row r="3435" spans="1:8">
      <c r="A3435" s="5">
        <v>3064</v>
      </c>
      <c r="B3435" s="6" t="str">
        <f>"唐婷"</f>
        <v>唐婷</v>
      </c>
      <c r="C3435" s="6" t="str">
        <f t="shared" si="161"/>
        <v>女</v>
      </c>
      <c r="D3435" s="6" t="str">
        <f>"202129033412"</f>
        <v>202129033412</v>
      </c>
      <c r="E3435" s="10" t="s">
        <v>27</v>
      </c>
      <c r="F3435" s="6" t="s">
        <v>11</v>
      </c>
      <c r="G3435" s="8">
        <v>77.95</v>
      </c>
      <c r="H3435" s="6"/>
    </row>
    <row r="3436" spans="1:8">
      <c r="A3436" s="5">
        <v>3135</v>
      </c>
      <c r="B3436" s="6" t="str">
        <f>"陈锦英"</f>
        <v>陈锦英</v>
      </c>
      <c r="C3436" s="6" t="str">
        <f t="shared" si="161"/>
        <v>女</v>
      </c>
      <c r="D3436" s="6" t="str">
        <f>"202129033413"</f>
        <v>202129033413</v>
      </c>
      <c r="E3436" s="10" t="s">
        <v>27</v>
      </c>
      <c r="F3436" s="6" t="s">
        <v>11</v>
      </c>
      <c r="G3436" s="8">
        <v>52.1</v>
      </c>
      <c r="H3436" s="6"/>
    </row>
    <row r="3437" spans="1:8">
      <c r="A3437" s="5">
        <v>2821</v>
      </c>
      <c r="B3437" s="6" t="str">
        <f>"杨洁"</f>
        <v>杨洁</v>
      </c>
      <c r="C3437" s="6" t="str">
        <f t="shared" si="161"/>
        <v>女</v>
      </c>
      <c r="D3437" s="6" t="str">
        <f>"202129033414"</f>
        <v>202129033414</v>
      </c>
      <c r="E3437" s="10" t="s">
        <v>27</v>
      </c>
      <c r="F3437" s="6" t="s">
        <v>11</v>
      </c>
      <c r="G3437" s="8">
        <v>93.05</v>
      </c>
      <c r="H3437" s="6"/>
    </row>
    <row r="3438" spans="1:8">
      <c r="A3438" s="5">
        <v>2917</v>
      </c>
      <c r="B3438" s="6" t="str">
        <f>"蒋利红"</f>
        <v>蒋利红</v>
      </c>
      <c r="C3438" s="6" t="str">
        <f t="shared" si="161"/>
        <v>女</v>
      </c>
      <c r="D3438" s="6" t="str">
        <f>"202129033415"</f>
        <v>202129033415</v>
      </c>
      <c r="E3438" s="10" t="s">
        <v>27</v>
      </c>
      <c r="F3438" s="6" t="s">
        <v>11</v>
      </c>
      <c r="G3438" s="8">
        <v>94.75</v>
      </c>
      <c r="H3438" s="6"/>
    </row>
    <row r="3439" spans="1:8">
      <c r="A3439" s="5">
        <v>2880</v>
      </c>
      <c r="B3439" s="6" t="str">
        <f>"周小兰"</f>
        <v>周小兰</v>
      </c>
      <c r="C3439" s="6" t="str">
        <f t="shared" si="161"/>
        <v>女</v>
      </c>
      <c r="D3439" s="6" t="str">
        <f>"202129033416"</f>
        <v>202129033416</v>
      </c>
      <c r="E3439" s="10" t="s">
        <v>27</v>
      </c>
      <c r="F3439" s="6" t="s">
        <v>11</v>
      </c>
      <c r="G3439" s="8">
        <v>86.8</v>
      </c>
      <c r="H3439" s="6"/>
    </row>
    <row r="3440" spans="1:8">
      <c r="A3440" s="5">
        <v>3109</v>
      </c>
      <c r="B3440" s="6" t="str">
        <f>"陆丽丽"</f>
        <v>陆丽丽</v>
      </c>
      <c r="C3440" s="6" t="str">
        <f t="shared" si="161"/>
        <v>女</v>
      </c>
      <c r="D3440" s="6" t="str">
        <f>"202129033417"</f>
        <v>202129033417</v>
      </c>
      <c r="E3440" s="10" t="s">
        <v>27</v>
      </c>
      <c r="F3440" s="6" t="s">
        <v>11</v>
      </c>
      <c r="G3440" s="8">
        <v>72.099999999999994</v>
      </c>
      <c r="H3440" s="6"/>
    </row>
    <row r="3441" spans="1:8">
      <c r="A3441" s="5">
        <v>3274</v>
      </c>
      <c r="B3441" s="6" t="str">
        <f>"尹娇娇"</f>
        <v>尹娇娇</v>
      </c>
      <c r="C3441" s="6" t="str">
        <f t="shared" si="161"/>
        <v>女</v>
      </c>
      <c r="D3441" s="6" t="str">
        <f>"202129033418"</f>
        <v>202129033418</v>
      </c>
      <c r="E3441" s="10" t="s">
        <v>27</v>
      </c>
      <c r="F3441" s="6" t="s">
        <v>11</v>
      </c>
      <c r="G3441" s="8">
        <v>81.650000000000006</v>
      </c>
      <c r="H3441" s="6"/>
    </row>
    <row r="3442" spans="1:8">
      <c r="A3442" s="5">
        <v>3149</v>
      </c>
      <c r="B3442" s="6" t="str">
        <f>"李玉姣"</f>
        <v>李玉姣</v>
      </c>
      <c r="C3442" s="6" t="str">
        <f t="shared" si="161"/>
        <v>女</v>
      </c>
      <c r="D3442" s="6" t="str">
        <f>"202129033419"</f>
        <v>202129033419</v>
      </c>
      <c r="E3442" s="10" t="s">
        <v>27</v>
      </c>
      <c r="F3442" s="6" t="s">
        <v>11</v>
      </c>
      <c r="G3442" s="8">
        <v>90.25</v>
      </c>
      <c r="H3442" s="6"/>
    </row>
    <row r="3443" spans="1:8">
      <c r="A3443" s="5">
        <v>2933</v>
      </c>
      <c r="B3443" s="6" t="str">
        <f>"龙凤云"</f>
        <v>龙凤云</v>
      </c>
      <c r="C3443" s="6" t="str">
        <f t="shared" si="161"/>
        <v>女</v>
      </c>
      <c r="D3443" s="6" t="str">
        <f>"202129033420"</f>
        <v>202129033420</v>
      </c>
      <c r="E3443" s="10" t="s">
        <v>27</v>
      </c>
      <c r="F3443" s="6" t="s">
        <v>11</v>
      </c>
      <c r="G3443" s="8">
        <v>57.75</v>
      </c>
      <c r="H3443" s="6"/>
    </row>
    <row r="3444" spans="1:8">
      <c r="A3444" s="5">
        <v>2982</v>
      </c>
      <c r="B3444" s="6" t="str">
        <f>"黄雪华"</f>
        <v>黄雪华</v>
      </c>
      <c r="C3444" s="6" t="str">
        <f t="shared" si="161"/>
        <v>女</v>
      </c>
      <c r="D3444" s="6" t="str">
        <f>"202129033421"</f>
        <v>202129033421</v>
      </c>
      <c r="E3444" s="10" t="s">
        <v>27</v>
      </c>
      <c r="F3444" s="6" t="s">
        <v>11</v>
      </c>
      <c r="G3444" s="8">
        <v>63.3</v>
      </c>
      <c r="H3444" s="6"/>
    </row>
    <row r="3445" spans="1:8">
      <c r="A3445" s="5">
        <v>2780</v>
      </c>
      <c r="B3445" s="6" t="str">
        <f>"廖秋香"</f>
        <v>廖秋香</v>
      </c>
      <c r="C3445" s="6" t="str">
        <f t="shared" si="161"/>
        <v>女</v>
      </c>
      <c r="D3445" s="6" t="str">
        <f>"202129033422"</f>
        <v>202129033422</v>
      </c>
      <c r="E3445" s="10" t="s">
        <v>27</v>
      </c>
      <c r="F3445" s="6" t="s">
        <v>11</v>
      </c>
      <c r="G3445" s="8">
        <v>92.05</v>
      </c>
      <c r="H3445" s="6"/>
    </row>
    <row r="3446" spans="1:8">
      <c r="A3446" s="5">
        <v>3021</v>
      </c>
      <c r="B3446" s="6" t="str">
        <f>"刘军香"</f>
        <v>刘军香</v>
      </c>
      <c r="C3446" s="6" t="str">
        <f t="shared" si="161"/>
        <v>女</v>
      </c>
      <c r="D3446" s="6" t="str">
        <f>"202129033423"</f>
        <v>202129033423</v>
      </c>
      <c r="E3446" s="10" t="s">
        <v>27</v>
      </c>
      <c r="F3446" s="6" t="s">
        <v>11</v>
      </c>
      <c r="G3446" s="8">
        <v>70.3</v>
      </c>
      <c r="H3446" s="6"/>
    </row>
    <row r="3447" spans="1:8">
      <c r="A3447" s="5">
        <v>2938</v>
      </c>
      <c r="B3447" s="6" t="str">
        <f>"岳倩"</f>
        <v>岳倩</v>
      </c>
      <c r="C3447" s="6" t="str">
        <f t="shared" si="161"/>
        <v>女</v>
      </c>
      <c r="D3447" s="6" t="str">
        <f>"202129033424"</f>
        <v>202129033424</v>
      </c>
      <c r="E3447" s="10" t="s">
        <v>27</v>
      </c>
      <c r="F3447" s="6" t="s">
        <v>11</v>
      </c>
      <c r="G3447" s="8">
        <v>82.1</v>
      </c>
      <c r="H3447" s="6"/>
    </row>
    <row r="3448" spans="1:8">
      <c r="A3448" s="5">
        <v>2898</v>
      </c>
      <c r="B3448" s="6" t="str">
        <f>"江晗"</f>
        <v>江晗</v>
      </c>
      <c r="C3448" s="6" t="str">
        <f>"男"</f>
        <v>男</v>
      </c>
      <c r="D3448" s="6" t="str">
        <f>"202129033425"</f>
        <v>202129033425</v>
      </c>
      <c r="E3448" s="10" t="s">
        <v>27</v>
      </c>
      <c r="F3448" s="6" t="s">
        <v>11</v>
      </c>
      <c r="G3448" s="8">
        <v>69.400000000000006</v>
      </c>
      <c r="H3448" s="6"/>
    </row>
    <row r="3449" spans="1:8">
      <c r="A3449" s="5">
        <v>3023</v>
      </c>
      <c r="B3449" s="6" t="str">
        <f>"陆钺坤"</f>
        <v>陆钺坤</v>
      </c>
      <c r="C3449" s="6" t="str">
        <f>"男"</f>
        <v>男</v>
      </c>
      <c r="D3449" s="6" t="str">
        <f>"202129033426"</f>
        <v>202129033426</v>
      </c>
      <c r="E3449" s="10" t="s">
        <v>27</v>
      </c>
      <c r="F3449" s="6" t="s">
        <v>11</v>
      </c>
      <c r="G3449" s="8">
        <v>41.7</v>
      </c>
      <c r="H3449" s="6"/>
    </row>
    <row r="3450" spans="1:8">
      <c r="A3450" s="5">
        <v>2934</v>
      </c>
      <c r="B3450" s="6" t="str">
        <f>"郑慰心"</f>
        <v>郑慰心</v>
      </c>
      <c r="C3450" s="6" t="str">
        <f>"女"</f>
        <v>女</v>
      </c>
      <c r="D3450" s="6" t="str">
        <f>"202129033427"</f>
        <v>202129033427</v>
      </c>
      <c r="E3450" s="10" t="s">
        <v>27</v>
      </c>
      <c r="F3450" s="6" t="s">
        <v>11</v>
      </c>
      <c r="G3450" s="8">
        <v>79.150000000000006</v>
      </c>
      <c r="H3450" s="6"/>
    </row>
    <row r="3451" spans="1:8">
      <c r="A3451" s="5">
        <v>3332</v>
      </c>
      <c r="B3451" s="6" t="str">
        <f>"刘卓娉"</f>
        <v>刘卓娉</v>
      </c>
      <c r="C3451" s="6" t="str">
        <f>"女"</f>
        <v>女</v>
      </c>
      <c r="D3451" s="6" t="str">
        <f>"202130033428"</f>
        <v>202130033428</v>
      </c>
      <c r="E3451" s="10" t="s">
        <v>27</v>
      </c>
      <c r="F3451" s="6" t="s">
        <v>12</v>
      </c>
      <c r="G3451" s="8">
        <v>62.9</v>
      </c>
      <c r="H3451" s="6"/>
    </row>
    <row r="3452" spans="1:8">
      <c r="A3452" s="5">
        <v>3358</v>
      </c>
      <c r="B3452" s="6" t="str">
        <f>"姚富源"</f>
        <v>姚富源</v>
      </c>
      <c r="C3452" s="6" t="str">
        <f>"男"</f>
        <v>男</v>
      </c>
      <c r="D3452" s="6" t="str">
        <f>"202130033429"</f>
        <v>202130033429</v>
      </c>
      <c r="E3452" s="10" t="s">
        <v>27</v>
      </c>
      <c r="F3452" s="6" t="s">
        <v>12</v>
      </c>
      <c r="G3452" s="8">
        <v>60.3</v>
      </c>
      <c r="H3452" s="6"/>
    </row>
    <row r="3453" spans="1:8">
      <c r="A3453" s="5">
        <v>3488</v>
      </c>
      <c r="B3453" s="6" t="str">
        <f>"王芷萱"</f>
        <v>王芷萱</v>
      </c>
      <c r="C3453" s="6" t="str">
        <f>"女"</f>
        <v>女</v>
      </c>
      <c r="D3453" s="6" t="str">
        <f>"202130033430"</f>
        <v>202130033430</v>
      </c>
      <c r="E3453" s="10" t="s">
        <v>27</v>
      </c>
      <c r="F3453" s="6" t="s">
        <v>12</v>
      </c>
      <c r="G3453" s="8">
        <v>69.400000000000006</v>
      </c>
      <c r="H3453" s="6"/>
    </row>
    <row r="3454" spans="1:8">
      <c r="A3454" s="5">
        <v>3330</v>
      </c>
      <c r="B3454" s="6" t="str">
        <f>"唐娜"</f>
        <v>唐娜</v>
      </c>
      <c r="C3454" s="6" t="str">
        <f>"女"</f>
        <v>女</v>
      </c>
      <c r="D3454" s="6" t="str">
        <f>"202130033501"</f>
        <v>202130033501</v>
      </c>
      <c r="E3454" s="10" t="s">
        <v>27</v>
      </c>
      <c r="F3454" s="6" t="s">
        <v>12</v>
      </c>
      <c r="G3454" s="8">
        <v>0</v>
      </c>
      <c r="H3454" s="9">
        <v>1</v>
      </c>
    </row>
    <row r="3455" spans="1:8">
      <c r="A3455" s="5">
        <v>3362</v>
      </c>
      <c r="B3455" s="6" t="str">
        <f>"袁依"</f>
        <v>袁依</v>
      </c>
      <c r="C3455" s="6" t="str">
        <f>"女"</f>
        <v>女</v>
      </c>
      <c r="D3455" s="6" t="str">
        <f>"202130033502"</f>
        <v>202130033502</v>
      </c>
      <c r="E3455" s="10" t="s">
        <v>27</v>
      </c>
      <c r="F3455" s="6" t="s">
        <v>12</v>
      </c>
      <c r="G3455" s="8">
        <v>71.05</v>
      </c>
      <c r="H3455" s="6"/>
    </row>
    <row r="3456" spans="1:8">
      <c r="A3456" s="5">
        <v>3503</v>
      </c>
      <c r="B3456" s="6" t="str">
        <f>"蓝莹"</f>
        <v>蓝莹</v>
      </c>
      <c r="C3456" s="6" t="str">
        <f>"女"</f>
        <v>女</v>
      </c>
      <c r="D3456" s="6" t="str">
        <f>"202130033503"</f>
        <v>202130033503</v>
      </c>
      <c r="E3456" s="10" t="s">
        <v>27</v>
      </c>
      <c r="F3456" s="6" t="s">
        <v>12</v>
      </c>
      <c r="G3456" s="8">
        <v>51.9</v>
      </c>
      <c r="H3456" s="6"/>
    </row>
    <row r="3457" spans="1:8">
      <c r="A3457" s="5">
        <v>3360</v>
      </c>
      <c r="B3457" s="6" t="str">
        <f>"雷旭明"</f>
        <v>雷旭明</v>
      </c>
      <c r="C3457" s="6" t="str">
        <f>"男"</f>
        <v>男</v>
      </c>
      <c r="D3457" s="6" t="str">
        <f>"202130033504"</f>
        <v>202130033504</v>
      </c>
      <c r="E3457" s="10" t="s">
        <v>27</v>
      </c>
      <c r="F3457" s="6" t="s">
        <v>12</v>
      </c>
      <c r="G3457" s="8">
        <v>66.45</v>
      </c>
      <c r="H3457" s="6"/>
    </row>
    <row r="3458" spans="1:8">
      <c r="A3458" s="5">
        <v>3318</v>
      </c>
      <c r="B3458" s="6" t="str">
        <f>"贺萍"</f>
        <v>贺萍</v>
      </c>
      <c r="C3458" s="6" t="str">
        <f t="shared" ref="C3458:C3467" si="162">"女"</f>
        <v>女</v>
      </c>
      <c r="D3458" s="6" t="str">
        <f>"202130033505"</f>
        <v>202130033505</v>
      </c>
      <c r="E3458" s="10" t="s">
        <v>27</v>
      </c>
      <c r="F3458" s="6" t="s">
        <v>12</v>
      </c>
      <c r="G3458" s="8">
        <v>85.9</v>
      </c>
      <c r="H3458" s="6"/>
    </row>
    <row r="3459" spans="1:8">
      <c r="A3459" s="5">
        <v>3511</v>
      </c>
      <c r="B3459" s="6" t="str">
        <f>"李鑫"</f>
        <v>李鑫</v>
      </c>
      <c r="C3459" s="6" t="str">
        <f t="shared" si="162"/>
        <v>女</v>
      </c>
      <c r="D3459" s="6" t="str">
        <f>"202130033506"</f>
        <v>202130033506</v>
      </c>
      <c r="E3459" s="10" t="s">
        <v>27</v>
      </c>
      <c r="F3459" s="6" t="s">
        <v>12</v>
      </c>
      <c r="G3459" s="8">
        <v>67.8</v>
      </c>
      <c r="H3459" s="6"/>
    </row>
    <row r="3460" spans="1:8">
      <c r="A3460" s="5">
        <v>3387</v>
      </c>
      <c r="B3460" s="6" t="str">
        <f>"杨敏"</f>
        <v>杨敏</v>
      </c>
      <c r="C3460" s="6" t="str">
        <f t="shared" si="162"/>
        <v>女</v>
      </c>
      <c r="D3460" s="6" t="str">
        <f>"202130033507"</f>
        <v>202130033507</v>
      </c>
      <c r="E3460" s="10" t="s">
        <v>27</v>
      </c>
      <c r="F3460" s="6" t="s">
        <v>12</v>
      </c>
      <c r="G3460" s="8">
        <v>76.650000000000006</v>
      </c>
      <c r="H3460" s="6"/>
    </row>
    <row r="3461" spans="1:8">
      <c r="A3461" s="5">
        <v>3510</v>
      </c>
      <c r="B3461" s="6" t="str">
        <f>"胡瑶"</f>
        <v>胡瑶</v>
      </c>
      <c r="C3461" s="6" t="str">
        <f t="shared" si="162"/>
        <v>女</v>
      </c>
      <c r="D3461" s="6" t="str">
        <f>"202130033508"</f>
        <v>202130033508</v>
      </c>
      <c r="E3461" s="10" t="s">
        <v>27</v>
      </c>
      <c r="F3461" s="6" t="s">
        <v>12</v>
      </c>
      <c r="G3461" s="8">
        <v>91</v>
      </c>
      <c r="H3461" s="6"/>
    </row>
    <row r="3462" spans="1:8">
      <c r="A3462" s="5">
        <v>3496</v>
      </c>
      <c r="B3462" s="6" t="str">
        <f>"罗慧林"</f>
        <v>罗慧林</v>
      </c>
      <c r="C3462" s="6" t="str">
        <f t="shared" si="162"/>
        <v>女</v>
      </c>
      <c r="D3462" s="6" t="str">
        <f>"202130033509"</f>
        <v>202130033509</v>
      </c>
      <c r="E3462" s="10" t="s">
        <v>27</v>
      </c>
      <c r="F3462" s="6" t="s">
        <v>12</v>
      </c>
      <c r="G3462" s="8">
        <v>61.4</v>
      </c>
      <c r="H3462" s="6"/>
    </row>
    <row r="3463" spans="1:8">
      <c r="A3463" s="5">
        <v>3505</v>
      </c>
      <c r="B3463" s="6" t="str">
        <f>"杨群"</f>
        <v>杨群</v>
      </c>
      <c r="C3463" s="6" t="str">
        <f t="shared" si="162"/>
        <v>女</v>
      </c>
      <c r="D3463" s="6" t="str">
        <f>"202130033510"</f>
        <v>202130033510</v>
      </c>
      <c r="E3463" s="10" t="s">
        <v>27</v>
      </c>
      <c r="F3463" s="6" t="s">
        <v>12</v>
      </c>
      <c r="G3463" s="8">
        <v>51.7</v>
      </c>
      <c r="H3463" s="6"/>
    </row>
    <row r="3464" spans="1:8">
      <c r="A3464" s="5">
        <v>3469</v>
      </c>
      <c r="B3464" s="6" t="str">
        <f>"周凌"</f>
        <v>周凌</v>
      </c>
      <c r="C3464" s="6" t="str">
        <f t="shared" si="162"/>
        <v>女</v>
      </c>
      <c r="D3464" s="6" t="str">
        <f>"202130033511"</f>
        <v>202130033511</v>
      </c>
      <c r="E3464" s="10" t="s">
        <v>27</v>
      </c>
      <c r="F3464" s="6" t="s">
        <v>12</v>
      </c>
      <c r="G3464" s="8">
        <v>64.5</v>
      </c>
      <c r="H3464" s="6"/>
    </row>
    <row r="3465" spans="1:8">
      <c r="A3465" s="5">
        <v>3352</v>
      </c>
      <c r="B3465" s="6" t="str">
        <f>"何曼君"</f>
        <v>何曼君</v>
      </c>
      <c r="C3465" s="6" t="str">
        <f t="shared" si="162"/>
        <v>女</v>
      </c>
      <c r="D3465" s="6" t="str">
        <f>"202130033512"</f>
        <v>202130033512</v>
      </c>
      <c r="E3465" s="10" t="s">
        <v>27</v>
      </c>
      <c r="F3465" s="6" t="s">
        <v>12</v>
      </c>
      <c r="G3465" s="8">
        <v>0</v>
      </c>
      <c r="H3465" s="9">
        <v>1</v>
      </c>
    </row>
    <row r="3466" spans="1:8">
      <c r="A3466" s="5">
        <v>3350</v>
      </c>
      <c r="B3466" s="6" t="str">
        <f>"唐源"</f>
        <v>唐源</v>
      </c>
      <c r="C3466" s="6" t="str">
        <f t="shared" si="162"/>
        <v>女</v>
      </c>
      <c r="D3466" s="6" t="str">
        <f>"202130033513"</f>
        <v>202130033513</v>
      </c>
      <c r="E3466" s="10" t="s">
        <v>27</v>
      </c>
      <c r="F3466" s="6" t="s">
        <v>12</v>
      </c>
      <c r="G3466" s="8">
        <v>89</v>
      </c>
      <c r="H3466" s="6"/>
    </row>
    <row r="3467" spans="1:8">
      <c r="A3467" s="5">
        <v>3439</v>
      </c>
      <c r="B3467" s="6" t="str">
        <f>"周易欢"</f>
        <v>周易欢</v>
      </c>
      <c r="C3467" s="6" t="str">
        <f t="shared" si="162"/>
        <v>女</v>
      </c>
      <c r="D3467" s="6" t="str">
        <f>"202130033514"</f>
        <v>202130033514</v>
      </c>
      <c r="E3467" s="10" t="s">
        <v>27</v>
      </c>
      <c r="F3467" s="6" t="s">
        <v>12</v>
      </c>
      <c r="G3467" s="8">
        <v>74.95</v>
      </c>
      <c r="H3467" s="6"/>
    </row>
    <row r="3468" spans="1:8">
      <c r="A3468" s="5">
        <v>3504</v>
      </c>
      <c r="B3468" s="6" t="str">
        <f>"尹杰"</f>
        <v>尹杰</v>
      </c>
      <c r="C3468" s="6" t="str">
        <f>"男"</f>
        <v>男</v>
      </c>
      <c r="D3468" s="6" t="str">
        <f>"202130033515"</f>
        <v>202130033515</v>
      </c>
      <c r="E3468" s="10" t="s">
        <v>27</v>
      </c>
      <c r="F3468" s="6" t="s">
        <v>12</v>
      </c>
      <c r="G3468" s="8">
        <v>54.9</v>
      </c>
      <c r="H3468" s="6"/>
    </row>
    <row r="3469" spans="1:8">
      <c r="A3469" s="5">
        <v>3519</v>
      </c>
      <c r="B3469" s="6" t="str">
        <f>"肖羽"</f>
        <v>肖羽</v>
      </c>
      <c r="C3469" s="6" t="str">
        <f>"男"</f>
        <v>男</v>
      </c>
      <c r="D3469" s="6" t="str">
        <f>"202130033516"</f>
        <v>202130033516</v>
      </c>
      <c r="E3469" s="10" t="s">
        <v>27</v>
      </c>
      <c r="F3469" s="6" t="s">
        <v>12</v>
      </c>
      <c r="G3469" s="8">
        <v>72.45</v>
      </c>
      <c r="H3469" s="6"/>
    </row>
    <row r="3470" spans="1:8">
      <c r="A3470" s="5">
        <v>3429</v>
      </c>
      <c r="B3470" s="6" t="str">
        <f>"杨奇昭"</f>
        <v>杨奇昭</v>
      </c>
      <c r="C3470" s="6" t="str">
        <f t="shared" ref="C3470:C3487" si="163">"女"</f>
        <v>女</v>
      </c>
      <c r="D3470" s="6" t="str">
        <f>"202130033517"</f>
        <v>202130033517</v>
      </c>
      <c r="E3470" s="10" t="s">
        <v>27</v>
      </c>
      <c r="F3470" s="6" t="s">
        <v>12</v>
      </c>
      <c r="G3470" s="8">
        <v>78.849999999999994</v>
      </c>
      <c r="H3470" s="6"/>
    </row>
    <row r="3471" spans="1:8">
      <c r="A3471" s="5">
        <v>3393</v>
      </c>
      <c r="B3471" s="6" t="str">
        <f>"申菁璇"</f>
        <v>申菁璇</v>
      </c>
      <c r="C3471" s="6" t="str">
        <f t="shared" si="163"/>
        <v>女</v>
      </c>
      <c r="D3471" s="6" t="str">
        <f>"202130033518"</f>
        <v>202130033518</v>
      </c>
      <c r="E3471" s="10" t="s">
        <v>27</v>
      </c>
      <c r="F3471" s="6" t="s">
        <v>12</v>
      </c>
      <c r="G3471" s="8">
        <v>83.75</v>
      </c>
      <c r="H3471" s="6"/>
    </row>
    <row r="3472" spans="1:8">
      <c r="A3472" s="5">
        <v>3345</v>
      </c>
      <c r="B3472" s="6" t="str">
        <f>"张可馨"</f>
        <v>张可馨</v>
      </c>
      <c r="C3472" s="6" t="str">
        <f t="shared" si="163"/>
        <v>女</v>
      </c>
      <c r="D3472" s="6" t="str">
        <f>"202130033519"</f>
        <v>202130033519</v>
      </c>
      <c r="E3472" s="10" t="s">
        <v>27</v>
      </c>
      <c r="F3472" s="6" t="s">
        <v>12</v>
      </c>
      <c r="G3472" s="8">
        <v>69.2</v>
      </c>
      <c r="H3472" s="6"/>
    </row>
    <row r="3473" spans="1:8">
      <c r="A3473" s="5">
        <v>3321</v>
      </c>
      <c r="B3473" s="6" t="str">
        <f>"刘英"</f>
        <v>刘英</v>
      </c>
      <c r="C3473" s="6" t="str">
        <f t="shared" si="163"/>
        <v>女</v>
      </c>
      <c r="D3473" s="6" t="str">
        <f>"202130033520"</f>
        <v>202130033520</v>
      </c>
      <c r="E3473" s="10" t="s">
        <v>27</v>
      </c>
      <c r="F3473" s="6" t="s">
        <v>12</v>
      </c>
      <c r="G3473" s="8">
        <v>66.75</v>
      </c>
      <c r="H3473" s="6"/>
    </row>
    <row r="3474" spans="1:8">
      <c r="A3474" s="5">
        <v>3474</v>
      </c>
      <c r="B3474" s="6" t="str">
        <f>"李金"</f>
        <v>李金</v>
      </c>
      <c r="C3474" s="6" t="str">
        <f t="shared" si="163"/>
        <v>女</v>
      </c>
      <c r="D3474" s="6" t="str">
        <f>"202130033521"</f>
        <v>202130033521</v>
      </c>
      <c r="E3474" s="10" t="s">
        <v>27</v>
      </c>
      <c r="F3474" s="6" t="s">
        <v>12</v>
      </c>
      <c r="G3474" s="8">
        <v>52.2</v>
      </c>
      <c r="H3474" s="6"/>
    </row>
    <row r="3475" spans="1:8">
      <c r="A3475" s="5">
        <v>3430</v>
      </c>
      <c r="B3475" s="6" t="str">
        <f>"石园园"</f>
        <v>石园园</v>
      </c>
      <c r="C3475" s="6" t="str">
        <f t="shared" si="163"/>
        <v>女</v>
      </c>
      <c r="D3475" s="6" t="str">
        <f>"202130033522"</f>
        <v>202130033522</v>
      </c>
      <c r="E3475" s="10" t="s">
        <v>27</v>
      </c>
      <c r="F3475" s="6" t="s">
        <v>12</v>
      </c>
      <c r="G3475" s="8">
        <v>0</v>
      </c>
      <c r="H3475" s="9">
        <v>1</v>
      </c>
    </row>
    <row r="3476" spans="1:8">
      <c r="A3476" s="5">
        <v>3316</v>
      </c>
      <c r="B3476" s="6" t="str">
        <f>"朱佳和"</f>
        <v>朱佳和</v>
      </c>
      <c r="C3476" s="6" t="str">
        <f t="shared" si="163"/>
        <v>女</v>
      </c>
      <c r="D3476" s="6" t="str">
        <f>"202130033523"</f>
        <v>202130033523</v>
      </c>
      <c r="E3476" s="10" t="s">
        <v>27</v>
      </c>
      <c r="F3476" s="6" t="s">
        <v>12</v>
      </c>
      <c r="G3476" s="8">
        <v>60.8</v>
      </c>
      <c r="H3476" s="6"/>
    </row>
    <row r="3477" spans="1:8">
      <c r="A3477" s="5">
        <v>3403</v>
      </c>
      <c r="B3477" s="6" t="str">
        <f>"吴慧"</f>
        <v>吴慧</v>
      </c>
      <c r="C3477" s="6" t="str">
        <f t="shared" si="163"/>
        <v>女</v>
      </c>
      <c r="D3477" s="6" t="str">
        <f>"202130033524"</f>
        <v>202130033524</v>
      </c>
      <c r="E3477" s="10" t="s">
        <v>27</v>
      </c>
      <c r="F3477" s="6" t="s">
        <v>12</v>
      </c>
      <c r="G3477" s="8">
        <v>78</v>
      </c>
      <c r="H3477" s="6"/>
    </row>
    <row r="3478" spans="1:8">
      <c r="A3478" s="5">
        <v>3464</v>
      </c>
      <c r="B3478" s="6" t="str">
        <f>"张胜君"</f>
        <v>张胜君</v>
      </c>
      <c r="C3478" s="6" t="str">
        <f t="shared" si="163"/>
        <v>女</v>
      </c>
      <c r="D3478" s="6" t="str">
        <f>"202130033525"</f>
        <v>202130033525</v>
      </c>
      <c r="E3478" s="10" t="s">
        <v>27</v>
      </c>
      <c r="F3478" s="6" t="s">
        <v>12</v>
      </c>
      <c r="G3478" s="8">
        <v>57.8</v>
      </c>
      <c r="H3478" s="6"/>
    </row>
    <row r="3479" spans="1:8">
      <c r="A3479" s="5">
        <v>3419</v>
      </c>
      <c r="B3479" s="6" t="str">
        <f>"孙湘澳"</f>
        <v>孙湘澳</v>
      </c>
      <c r="C3479" s="6" t="str">
        <f t="shared" si="163"/>
        <v>女</v>
      </c>
      <c r="D3479" s="6" t="str">
        <f>"202130033526"</f>
        <v>202130033526</v>
      </c>
      <c r="E3479" s="10" t="s">
        <v>27</v>
      </c>
      <c r="F3479" s="6" t="s">
        <v>12</v>
      </c>
      <c r="G3479" s="8">
        <v>82.4</v>
      </c>
      <c r="H3479" s="6"/>
    </row>
    <row r="3480" spans="1:8">
      <c r="A3480" s="5">
        <v>3405</v>
      </c>
      <c r="B3480" s="6" t="str">
        <f>"王群"</f>
        <v>王群</v>
      </c>
      <c r="C3480" s="6" t="str">
        <f t="shared" si="163"/>
        <v>女</v>
      </c>
      <c r="D3480" s="6" t="str">
        <f>"202130033527"</f>
        <v>202130033527</v>
      </c>
      <c r="E3480" s="10" t="s">
        <v>27</v>
      </c>
      <c r="F3480" s="6" t="s">
        <v>12</v>
      </c>
      <c r="G3480" s="8">
        <v>69</v>
      </c>
      <c r="H3480" s="6"/>
    </row>
    <row r="3481" spans="1:8">
      <c r="A3481" s="5">
        <v>3344</v>
      </c>
      <c r="B3481" s="6" t="str">
        <f>"曾豪"</f>
        <v>曾豪</v>
      </c>
      <c r="C3481" s="6" t="str">
        <f t="shared" si="163"/>
        <v>女</v>
      </c>
      <c r="D3481" s="6" t="str">
        <f>"202130033528"</f>
        <v>202130033528</v>
      </c>
      <c r="E3481" s="10" t="s">
        <v>27</v>
      </c>
      <c r="F3481" s="6" t="s">
        <v>12</v>
      </c>
      <c r="G3481" s="8">
        <v>52.8</v>
      </c>
      <c r="H3481" s="6"/>
    </row>
    <row r="3482" spans="1:8">
      <c r="A3482" s="5">
        <v>3454</v>
      </c>
      <c r="B3482" s="6" t="str">
        <f>"钱晓艳"</f>
        <v>钱晓艳</v>
      </c>
      <c r="C3482" s="6" t="str">
        <f t="shared" si="163"/>
        <v>女</v>
      </c>
      <c r="D3482" s="6" t="str">
        <f>"202130033529"</f>
        <v>202130033529</v>
      </c>
      <c r="E3482" s="10" t="s">
        <v>27</v>
      </c>
      <c r="F3482" s="6" t="s">
        <v>12</v>
      </c>
      <c r="G3482" s="8">
        <v>82.9</v>
      </c>
      <c r="H3482" s="6"/>
    </row>
    <row r="3483" spans="1:8">
      <c r="A3483" s="5">
        <v>3478</v>
      </c>
      <c r="B3483" s="6" t="str">
        <f>"马传荣"</f>
        <v>马传荣</v>
      </c>
      <c r="C3483" s="6" t="str">
        <f t="shared" si="163"/>
        <v>女</v>
      </c>
      <c r="D3483" s="6" t="str">
        <f>"202130033530"</f>
        <v>202130033530</v>
      </c>
      <c r="E3483" s="10" t="s">
        <v>27</v>
      </c>
      <c r="F3483" s="6" t="s">
        <v>12</v>
      </c>
      <c r="G3483" s="8">
        <v>88.15</v>
      </c>
      <c r="H3483" s="6"/>
    </row>
    <row r="3484" spans="1:8">
      <c r="A3484" s="5">
        <v>3398</v>
      </c>
      <c r="B3484" s="6" t="str">
        <f>"罗兰"</f>
        <v>罗兰</v>
      </c>
      <c r="C3484" s="6" t="str">
        <f t="shared" si="163"/>
        <v>女</v>
      </c>
      <c r="D3484" s="6" t="str">
        <f>"202130033601"</f>
        <v>202130033601</v>
      </c>
      <c r="E3484" s="10" t="s">
        <v>27</v>
      </c>
      <c r="F3484" s="6" t="s">
        <v>12</v>
      </c>
      <c r="G3484" s="8">
        <v>61.8</v>
      </c>
      <c r="H3484" s="6"/>
    </row>
    <row r="3485" spans="1:8">
      <c r="A3485" s="5">
        <v>3354</v>
      </c>
      <c r="B3485" s="6" t="str">
        <f>"陈卓君"</f>
        <v>陈卓君</v>
      </c>
      <c r="C3485" s="6" t="str">
        <f t="shared" si="163"/>
        <v>女</v>
      </c>
      <c r="D3485" s="6" t="str">
        <f>"202130033602"</f>
        <v>202130033602</v>
      </c>
      <c r="E3485" s="10" t="s">
        <v>27</v>
      </c>
      <c r="F3485" s="6" t="s">
        <v>12</v>
      </c>
      <c r="G3485" s="8">
        <v>0</v>
      </c>
      <c r="H3485" s="9">
        <v>1</v>
      </c>
    </row>
    <row r="3486" spans="1:8">
      <c r="A3486" s="5">
        <v>3334</v>
      </c>
      <c r="B3486" s="6" t="str">
        <f>"粟小苗"</f>
        <v>粟小苗</v>
      </c>
      <c r="C3486" s="6" t="str">
        <f t="shared" si="163"/>
        <v>女</v>
      </c>
      <c r="D3486" s="6" t="str">
        <f>"202130033603"</f>
        <v>202130033603</v>
      </c>
      <c r="E3486" s="10" t="s">
        <v>27</v>
      </c>
      <c r="F3486" s="6" t="s">
        <v>12</v>
      </c>
      <c r="G3486" s="8">
        <v>72.8</v>
      </c>
      <c r="H3486" s="6"/>
    </row>
    <row r="3487" spans="1:8">
      <c r="A3487" s="5">
        <v>3458</v>
      </c>
      <c r="B3487" s="6" t="str">
        <f>"阳菲"</f>
        <v>阳菲</v>
      </c>
      <c r="C3487" s="6" t="str">
        <f t="shared" si="163"/>
        <v>女</v>
      </c>
      <c r="D3487" s="6" t="str">
        <f>"202130033604"</f>
        <v>202130033604</v>
      </c>
      <c r="E3487" s="10" t="s">
        <v>27</v>
      </c>
      <c r="F3487" s="6" t="s">
        <v>12</v>
      </c>
      <c r="G3487" s="8">
        <v>60.6</v>
      </c>
      <c r="H3487" s="6"/>
    </row>
    <row r="3488" spans="1:8">
      <c r="A3488" s="5">
        <v>3340</v>
      </c>
      <c r="B3488" s="6" t="str">
        <f>"何超琴"</f>
        <v>何超琴</v>
      </c>
      <c r="C3488" s="6" t="str">
        <f>"男"</f>
        <v>男</v>
      </c>
      <c r="D3488" s="6" t="str">
        <f>"202130033605"</f>
        <v>202130033605</v>
      </c>
      <c r="E3488" s="10" t="s">
        <v>27</v>
      </c>
      <c r="F3488" s="6" t="s">
        <v>12</v>
      </c>
      <c r="G3488" s="8">
        <v>63.85</v>
      </c>
      <c r="H3488" s="6"/>
    </row>
    <row r="3489" spans="1:8">
      <c r="A3489" s="5">
        <v>3328</v>
      </c>
      <c r="B3489" s="6" t="str">
        <f>"刘丰倩"</f>
        <v>刘丰倩</v>
      </c>
      <c r="C3489" s="6" t="str">
        <f t="shared" ref="C3489:C3494" si="164">"女"</f>
        <v>女</v>
      </c>
      <c r="D3489" s="6" t="str">
        <f>"202130033606"</f>
        <v>202130033606</v>
      </c>
      <c r="E3489" s="10" t="s">
        <v>27</v>
      </c>
      <c r="F3489" s="6" t="s">
        <v>12</v>
      </c>
      <c r="G3489" s="8">
        <v>73.400000000000006</v>
      </c>
      <c r="H3489" s="6"/>
    </row>
    <row r="3490" spans="1:8">
      <c r="A3490" s="5">
        <v>3305</v>
      </c>
      <c r="B3490" s="6" t="str">
        <f>"刘薇"</f>
        <v>刘薇</v>
      </c>
      <c r="C3490" s="6" t="str">
        <f t="shared" si="164"/>
        <v>女</v>
      </c>
      <c r="D3490" s="6" t="str">
        <f>"202130033607"</f>
        <v>202130033607</v>
      </c>
      <c r="E3490" s="10" t="s">
        <v>27</v>
      </c>
      <c r="F3490" s="6" t="s">
        <v>12</v>
      </c>
      <c r="G3490" s="8">
        <v>0</v>
      </c>
      <c r="H3490" s="9">
        <v>1</v>
      </c>
    </row>
    <row r="3491" spans="1:8">
      <c r="A3491" s="5">
        <v>3471</v>
      </c>
      <c r="B3491" s="6" t="str">
        <f>"唐洁"</f>
        <v>唐洁</v>
      </c>
      <c r="C3491" s="6" t="str">
        <f t="shared" si="164"/>
        <v>女</v>
      </c>
      <c r="D3491" s="6" t="str">
        <f>"202130033608"</f>
        <v>202130033608</v>
      </c>
      <c r="E3491" s="10" t="s">
        <v>27</v>
      </c>
      <c r="F3491" s="6" t="s">
        <v>12</v>
      </c>
      <c r="G3491" s="8">
        <v>52.95</v>
      </c>
      <c r="H3491" s="6"/>
    </row>
    <row r="3492" spans="1:8">
      <c r="A3492" s="5">
        <v>3378</v>
      </c>
      <c r="B3492" s="6" t="str">
        <f>"夏媛媛"</f>
        <v>夏媛媛</v>
      </c>
      <c r="C3492" s="6" t="str">
        <f t="shared" si="164"/>
        <v>女</v>
      </c>
      <c r="D3492" s="6" t="str">
        <f>"202130033609"</f>
        <v>202130033609</v>
      </c>
      <c r="E3492" s="10" t="s">
        <v>27</v>
      </c>
      <c r="F3492" s="6" t="s">
        <v>12</v>
      </c>
      <c r="G3492" s="8">
        <v>71</v>
      </c>
      <c r="H3492" s="6"/>
    </row>
    <row r="3493" spans="1:8">
      <c r="A3493" s="5">
        <v>3491</v>
      </c>
      <c r="B3493" s="6" t="str">
        <f>"魏雯"</f>
        <v>魏雯</v>
      </c>
      <c r="C3493" s="6" t="str">
        <f t="shared" si="164"/>
        <v>女</v>
      </c>
      <c r="D3493" s="6" t="str">
        <f>"202130033610"</f>
        <v>202130033610</v>
      </c>
      <c r="E3493" s="10" t="s">
        <v>27</v>
      </c>
      <c r="F3493" s="6" t="s">
        <v>12</v>
      </c>
      <c r="G3493" s="8">
        <v>52.8</v>
      </c>
      <c r="H3493" s="6"/>
    </row>
    <row r="3494" spans="1:8">
      <c r="A3494" s="5">
        <v>3383</v>
      </c>
      <c r="B3494" s="6" t="str">
        <f>"谢静"</f>
        <v>谢静</v>
      </c>
      <c r="C3494" s="6" t="str">
        <f t="shared" si="164"/>
        <v>女</v>
      </c>
      <c r="D3494" s="6" t="str">
        <f>"202130033611"</f>
        <v>202130033611</v>
      </c>
      <c r="E3494" s="10" t="s">
        <v>27</v>
      </c>
      <c r="F3494" s="6" t="s">
        <v>12</v>
      </c>
      <c r="G3494" s="8">
        <v>61.55</v>
      </c>
      <c r="H3494" s="6"/>
    </row>
    <row r="3495" spans="1:8">
      <c r="A3495" s="5">
        <v>3402</v>
      </c>
      <c r="B3495" s="6" t="str">
        <f>"唐鹏"</f>
        <v>唐鹏</v>
      </c>
      <c r="C3495" s="6" t="str">
        <f>"男"</f>
        <v>男</v>
      </c>
      <c r="D3495" s="6" t="str">
        <f>"202130033612"</f>
        <v>202130033612</v>
      </c>
      <c r="E3495" s="10" t="s">
        <v>27</v>
      </c>
      <c r="F3495" s="6" t="s">
        <v>12</v>
      </c>
      <c r="G3495" s="8">
        <v>89.25</v>
      </c>
      <c r="H3495" s="6"/>
    </row>
    <row r="3496" spans="1:8">
      <c r="A3496" s="5">
        <v>3384</v>
      </c>
      <c r="B3496" s="6" t="str">
        <f>"冒金星"</f>
        <v>冒金星</v>
      </c>
      <c r="C3496" s="6" t="str">
        <f>"女"</f>
        <v>女</v>
      </c>
      <c r="D3496" s="6" t="str">
        <f>"202130033613"</f>
        <v>202130033613</v>
      </c>
      <c r="E3496" s="10" t="s">
        <v>27</v>
      </c>
      <c r="F3496" s="6" t="s">
        <v>12</v>
      </c>
      <c r="G3496" s="8">
        <v>65.150000000000006</v>
      </c>
      <c r="H3496" s="6"/>
    </row>
    <row r="3497" spans="1:8">
      <c r="A3497" s="5">
        <v>3509</v>
      </c>
      <c r="B3497" s="6" t="str">
        <f>"马梦思"</f>
        <v>马梦思</v>
      </c>
      <c r="C3497" s="6" t="str">
        <f>"女"</f>
        <v>女</v>
      </c>
      <c r="D3497" s="6" t="str">
        <f>"202130033614"</f>
        <v>202130033614</v>
      </c>
      <c r="E3497" s="10" t="s">
        <v>27</v>
      </c>
      <c r="F3497" s="6" t="s">
        <v>12</v>
      </c>
      <c r="G3497" s="8">
        <v>71.400000000000006</v>
      </c>
      <c r="H3497" s="6"/>
    </row>
    <row r="3498" spans="1:8">
      <c r="A3498" s="5">
        <v>3303</v>
      </c>
      <c r="B3498" s="6" t="str">
        <f>"李德康"</f>
        <v>李德康</v>
      </c>
      <c r="C3498" s="6" t="str">
        <f>"男"</f>
        <v>男</v>
      </c>
      <c r="D3498" s="6" t="str">
        <f>"202130033615"</f>
        <v>202130033615</v>
      </c>
      <c r="E3498" s="10" t="s">
        <v>27</v>
      </c>
      <c r="F3498" s="6" t="s">
        <v>12</v>
      </c>
      <c r="G3498" s="8">
        <v>80.349999999999994</v>
      </c>
      <c r="H3498" s="6"/>
    </row>
    <row r="3499" spans="1:8">
      <c r="A3499" s="5">
        <v>3325</v>
      </c>
      <c r="B3499" s="6" t="str">
        <f>"向香霖"</f>
        <v>向香霖</v>
      </c>
      <c r="C3499" s="6" t="str">
        <f>"女"</f>
        <v>女</v>
      </c>
      <c r="D3499" s="6" t="str">
        <f>"202130033616"</f>
        <v>202130033616</v>
      </c>
      <c r="E3499" s="10" t="s">
        <v>27</v>
      </c>
      <c r="F3499" s="6" t="s">
        <v>12</v>
      </c>
      <c r="G3499" s="8">
        <v>0</v>
      </c>
      <c r="H3499" s="9">
        <v>1</v>
      </c>
    </row>
    <row r="3500" spans="1:8">
      <c r="A3500" s="5">
        <v>3386</v>
      </c>
      <c r="B3500" s="6" t="str">
        <f>"颜家欣"</f>
        <v>颜家欣</v>
      </c>
      <c r="C3500" s="6" t="str">
        <f>"女"</f>
        <v>女</v>
      </c>
      <c r="D3500" s="6" t="str">
        <f>"202130033617"</f>
        <v>202130033617</v>
      </c>
      <c r="E3500" s="10" t="s">
        <v>27</v>
      </c>
      <c r="F3500" s="6" t="s">
        <v>12</v>
      </c>
      <c r="G3500" s="8">
        <v>81.099999999999994</v>
      </c>
      <c r="H3500" s="6"/>
    </row>
    <row r="3501" spans="1:8">
      <c r="A3501" s="5">
        <v>3351</v>
      </c>
      <c r="B3501" s="6" t="str">
        <f>"宁利利"</f>
        <v>宁利利</v>
      </c>
      <c r="C3501" s="6" t="str">
        <f>"女"</f>
        <v>女</v>
      </c>
      <c r="D3501" s="6" t="str">
        <f>"202130033618"</f>
        <v>202130033618</v>
      </c>
      <c r="E3501" s="10" t="s">
        <v>27</v>
      </c>
      <c r="F3501" s="6" t="s">
        <v>12</v>
      </c>
      <c r="G3501" s="8">
        <v>75.599999999999994</v>
      </c>
      <c r="H3501" s="6"/>
    </row>
    <row r="3502" spans="1:8">
      <c r="A3502" s="5">
        <v>3341</v>
      </c>
      <c r="B3502" s="6" t="str">
        <f>"龙涛"</f>
        <v>龙涛</v>
      </c>
      <c r="C3502" s="6" t="str">
        <f>"男"</f>
        <v>男</v>
      </c>
      <c r="D3502" s="6" t="str">
        <f>"202130033619"</f>
        <v>202130033619</v>
      </c>
      <c r="E3502" s="10" t="s">
        <v>27</v>
      </c>
      <c r="F3502" s="6" t="s">
        <v>12</v>
      </c>
      <c r="G3502" s="8">
        <v>0</v>
      </c>
      <c r="H3502" s="9">
        <v>1</v>
      </c>
    </row>
    <row r="3503" spans="1:8">
      <c r="A3503" s="5">
        <v>3447</v>
      </c>
      <c r="B3503" s="6" t="str">
        <f>"阳利军"</f>
        <v>阳利军</v>
      </c>
      <c r="C3503" s="6" t="str">
        <f>"男"</f>
        <v>男</v>
      </c>
      <c r="D3503" s="6" t="str">
        <f>"202130033620"</f>
        <v>202130033620</v>
      </c>
      <c r="E3503" s="10" t="s">
        <v>27</v>
      </c>
      <c r="F3503" s="6" t="s">
        <v>12</v>
      </c>
      <c r="G3503" s="8">
        <v>65.7</v>
      </c>
      <c r="H3503" s="6"/>
    </row>
    <row r="3504" spans="1:8">
      <c r="A3504" s="5">
        <v>3309</v>
      </c>
      <c r="B3504" s="6" t="str">
        <f>"徐佳慧"</f>
        <v>徐佳慧</v>
      </c>
      <c r="C3504" s="6" t="str">
        <f>"女"</f>
        <v>女</v>
      </c>
      <c r="D3504" s="6" t="str">
        <f>"202130033621"</f>
        <v>202130033621</v>
      </c>
      <c r="E3504" s="10" t="s">
        <v>27</v>
      </c>
      <c r="F3504" s="6" t="s">
        <v>12</v>
      </c>
      <c r="G3504" s="8">
        <v>67.8</v>
      </c>
      <c r="H3504" s="6"/>
    </row>
    <row r="3505" spans="1:8">
      <c r="A3505" s="5">
        <v>3376</v>
      </c>
      <c r="B3505" s="6" t="str">
        <f>"蒋宇"</f>
        <v>蒋宇</v>
      </c>
      <c r="C3505" s="6" t="str">
        <f>"男"</f>
        <v>男</v>
      </c>
      <c r="D3505" s="6" t="str">
        <f>"202130033622"</f>
        <v>202130033622</v>
      </c>
      <c r="E3505" s="10" t="s">
        <v>27</v>
      </c>
      <c r="F3505" s="6" t="s">
        <v>12</v>
      </c>
      <c r="G3505" s="8">
        <v>71.849999999999994</v>
      </c>
      <c r="H3505" s="6"/>
    </row>
    <row r="3506" spans="1:8">
      <c r="A3506" s="5">
        <v>3460</v>
      </c>
      <c r="B3506" s="6" t="str">
        <f>"熊洋"</f>
        <v>熊洋</v>
      </c>
      <c r="C3506" s="6" t="str">
        <f t="shared" ref="C3506:C3512" si="165">"女"</f>
        <v>女</v>
      </c>
      <c r="D3506" s="6" t="str">
        <f>"202130033623"</f>
        <v>202130033623</v>
      </c>
      <c r="E3506" s="10" t="s">
        <v>27</v>
      </c>
      <c r="F3506" s="6" t="s">
        <v>12</v>
      </c>
      <c r="G3506" s="8">
        <v>58.8</v>
      </c>
      <c r="H3506" s="6"/>
    </row>
    <row r="3507" spans="1:8">
      <c r="A3507" s="5">
        <v>3364</v>
      </c>
      <c r="B3507" s="6" t="str">
        <f>"瞿君安"</f>
        <v>瞿君安</v>
      </c>
      <c r="C3507" s="6" t="str">
        <f t="shared" si="165"/>
        <v>女</v>
      </c>
      <c r="D3507" s="6" t="str">
        <f>"202130033624"</f>
        <v>202130033624</v>
      </c>
      <c r="E3507" s="10" t="s">
        <v>27</v>
      </c>
      <c r="F3507" s="6" t="s">
        <v>12</v>
      </c>
      <c r="G3507" s="8">
        <v>72.95</v>
      </c>
      <c r="H3507" s="6"/>
    </row>
    <row r="3508" spans="1:8">
      <c r="A3508" s="5">
        <v>3462</v>
      </c>
      <c r="B3508" s="6" t="str">
        <f>"陈滚"</f>
        <v>陈滚</v>
      </c>
      <c r="C3508" s="6" t="str">
        <f t="shared" si="165"/>
        <v>女</v>
      </c>
      <c r="D3508" s="6" t="str">
        <f>"202130033625"</f>
        <v>202130033625</v>
      </c>
      <c r="E3508" s="10" t="s">
        <v>27</v>
      </c>
      <c r="F3508" s="6" t="s">
        <v>12</v>
      </c>
      <c r="G3508" s="8">
        <v>82.1</v>
      </c>
      <c r="H3508" s="6"/>
    </row>
    <row r="3509" spans="1:8">
      <c r="A3509" s="5">
        <v>3335</v>
      </c>
      <c r="B3509" s="6" t="str">
        <f>"范倩"</f>
        <v>范倩</v>
      </c>
      <c r="C3509" s="6" t="str">
        <f t="shared" si="165"/>
        <v>女</v>
      </c>
      <c r="D3509" s="6" t="str">
        <f>"202130033626"</f>
        <v>202130033626</v>
      </c>
      <c r="E3509" s="10" t="s">
        <v>27</v>
      </c>
      <c r="F3509" s="6" t="s">
        <v>12</v>
      </c>
      <c r="G3509" s="8">
        <v>55.9</v>
      </c>
      <c r="H3509" s="6"/>
    </row>
    <row r="3510" spans="1:8">
      <c r="A3510" s="5">
        <v>3482</v>
      </c>
      <c r="B3510" s="6" t="str">
        <f>"张萌英"</f>
        <v>张萌英</v>
      </c>
      <c r="C3510" s="6" t="str">
        <f t="shared" si="165"/>
        <v>女</v>
      </c>
      <c r="D3510" s="6" t="str">
        <f>"202130033627"</f>
        <v>202130033627</v>
      </c>
      <c r="E3510" s="10" t="s">
        <v>27</v>
      </c>
      <c r="F3510" s="6" t="s">
        <v>12</v>
      </c>
      <c r="G3510" s="8">
        <v>65.5</v>
      </c>
      <c r="H3510" s="6"/>
    </row>
    <row r="3511" spans="1:8">
      <c r="A3511" s="5">
        <v>3479</v>
      </c>
      <c r="B3511" s="6" t="str">
        <f>"戴淑影"</f>
        <v>戴淑影</v>
      </c>
      <c r="C3511" s="6" t="str">
        <f t="shared" si="165"/>
        <v>女</v>
      </c>
      <c r="D3511" s="6" t="str">
        <f>"202130033628"</f>
        <v>202130033628</v>
      </c>
      <c r="E3511" s="10" t="s">
        <v>27</v>
      </c>
      <c r="F3511" s="6" t="s">
        <v>12</v>
      </c>
      <c r="G3511" s="8">
        <v>51.25</v>
      </c>
      <c r="H3511" s="6"/>
    </row>
    <row r="3512" spans="1:8">
      <c r="A3512" s="5">
        <v>3415</v>
      </c>
      <c r="B3512" s="6" t="str">
        <f>"雷慧琳"</f>
        <v>雷慧琳</v>
      </c>
      <c r="C3512" s="6" t="str">
        <f t="shared" si="165"/>
        <v>女</v>
      </c>
      <c r="D3512" s="6" t="str">
        <f>"202130033629"</f>
        <v>202130033629</v>
      </c>
      <c r="E3512" s="10" t="s">
        <v>27</v>
      </c>
      <c r="F3512" s="6" t="s">
        <v>12</v>
      </c>
      <c r="G3512" s="8">
        <v>65.099999999999994</v>
      </c>
      <c r="H3512" s="6"/>
    </row>
    <row r="3513" spans="1:8">
      <c r="A3513" s="5">
        <v>3410</v>
      </c>
      <c r="B3513" s="6" t="str">
        <f>"杨毅"</f>
        <v>杨毅</v>
      </c>
      <c r="C3513" s="6" t="str">
        <f>"男"</f>
        <v>男</v>
      </c>
      <c r="D3513" s="6" t="str">
        <f>"202130033630"</f>
        <v>202130033630</v>
      </c>
      <c r="E3513" s="10" t="s">
        <v>27</v>
      </c>
      <c r="F3513" s="6" t="s">
        <v>12</v>
      </c>
      <c r="G3513" s="8">
        <v>86.55</v>
      </c>
      <c r="H3513" s="6"/>
    </row>
    <row r="3514" spans="1:8">
      <c r="A3514" s="5">
        <v>3444</v>
      </c>
      <c r="B3514" s="6" t="str">
        <f>"贺婷"</f>
        <v>贺婷</v>
      </c>
      <c r="C3514" s="6" t="str">
        <f t="shared" ref="C3514:C3522" si="166">"女"</f>
        <v>女</v>
      </c>
      <c r="D3514" s="6" t="str">
        <f>"202130033701"</f>
        <v>202130033701</v>
      </c>
      <c r="E3514" s="10" t="s">
        <v>27</v>
      </c>
      <c r="F3514" s="6" t="s">
        <v>12</v>
      </c>
      <c r="G3514" s="8">
        <v>77.7</v>
      </c>
      <c r="H3514" s="6"/>
    </row>
    <row r="3515" spans="1:8">
      <c r="A3515" s="5">
        <v>3395</v>
      </c>
      <c r="B3515" s="6" t="str">
        <f>"周莹"</f>
        <v>周莹</v>
      </c>
      <c r="C3515" s="6" t="str">
        <f t="shared" si="166"/>
        <v>女</v>
      </c>
      <c r="D3515" s="6" t="str">
        <f>"202130033702"</f>
        <v>202130033702</v>
      </c>
      <c r="E3515" s="10" t="s">
        <v>27</v>
      </c>
      <c r="F3515" s="6" t="s">
        <v>12</v>
      </c>
      <c r="G3515" s="8">
        <v>90.75</v>
      </c>
      <c r="H3515" s="6"/>
    </row>
    <row r="3516" spans="1:8">
      <c r="A3516" s="5">
        <v>3445</v>
      </c>
      <c r="B3516" s="6" t="str">
        <f>"邓满姣"</f>
        <v>邓满姣</v>
      </c>
      <c r="C3516" s="6" t="str">
        <f t="shared" si="166"/>
        <v>女</v>
      </c>
      <c r="D3516" s="6" t="str">
        <f>"202130033703"</f>
        <v>202130033703</v>
      </c>
      <c r="E3516" s="10" t="s">
        <v>27</v>
      </c>
      <c r="F3516" s="6" t="s">
        <v>12</v>
      </c>
      <c r="G3516" s="8">
        <v>89.3</v>
      </c>
      <c r="H3516" s="6"/>
    </row>
    <row r="3517" spans="1:8">
      <c r="A3517" s="5">
        <v>3326</v>
      </c>
      <c r="B3517" s="6" t="str">
        <f>"李晶玲"</f>
        <v>李晶玲</v>
      </c>
      <c r="C3517" s="6" t="str">
        <f t="shared" si="166"/>
        <v>女</v>
      </c>
      <c r="D3517" s="6" t="str">
        <f>"202130033704"</f>
        <v>202130033704</v>
      </c>
      <c r="E3517" s="10" t="s">
        <v>27</v>
      </c>
      <c r="F3517" s="6" t="s">
        <v>12</v>
      </c>
      <c r="G3517" s="8">
        <v>83.4</v>
      </c>
      <c r="H3517" s="6"/>
    </row>
    <row r="3518" spans="1:8">
      <c r="A3518" s="5">
        <v>3314</v>
      </c>
      <c r="B3518" s="6" t="str">
        <f>"李樱枝"</f>
        <v>李樱枝</v>
      </c>
      <c r="C3518" s="6" t="str">
        <f t="shared" si="166"/>
        <v>女</v>
      </c>
      <c r="D3518" s="6" t="str">
        <f>"202130033705"</f>
        <v>202130033705</v>
      </c>
      <c r="E3518" s="10" t="s">
        <v>27</v>
      </c>
      <c r="F3518" s="6" t="s">
        <v>12</v>
      </c>
      <c r="G3518" s="8">
        <v>70.099999999999994</v>
      </c>
      <c r="H3518" s="6"/>
    </row>
    <row r="3519" spans="1:8">
      <c r="A3519" s="5">
        <v>3391</v>
      </c>
      <c r="B3519" s="6" t="str">
        <f>"王蓉"</f>
        <v>王蓉</v>
      </c>
      <c r="C3519" s="6" t="str">
        <f t="shared" si="166"/>
        <v>女</v>
      </c>
      <c r="D3519" s="6" t="str">
        <f>"202130033706"</f>
        <v>202130033706</v>
      </c>
      <c r="E3519" s="10" t="s">
        <v>27</v>
      </c>
      <c r="F3519" s="6" t="s">
        <v>12</v>
      </c>
      <c r="G3519" s="8">
        <v>70</v>
      </c>
      <c r="H3519" s="6"/>
    </row>
    <row r="3520" spans="1:8">
      <c r="A3520" s="5">
        <v>3500</v>
      </c>
      <c r="B3520" s="6" t="str">
        <f>"尹丽丽"</f>
        <v>尹丽丽</v>
      </c>
      <c r="C3520" s="6" t="str">
        <f t="shared" si="166"/>
        <v>女</v>
      </c>
      <c r="D3520" s="6" t="str">
        <f>"202130033707"</f>
        <v>202130033707</v>
      </c>
      <c r="E3520" s="10" t="s">
        <v>27</v>
      </c>
      <c r="F3520" s="6" t="s">
        <v>12</v>
      </c>
      <c r="G3520" s="8">
        <v>80.95</v>
      </c>
      <c r="H3520" s="6"/>
    </row>
    <row r="3521" spans="1:8">
      <c r="A3521" s="5">
        <v>3324</v>
      </c>
      <c r="B3521" s="6" t="str">
        <f>"李黄西斐"</f>
        <v>李黄西斐</v>
      </c>
      <c r="C3521" s="6" t="str">
        <f t="shared" si="166"/>
        <v>女</v>
      </c>
      <c r="D3521" s="6" t="str">
        <f>"202130033708"</f>
        <v>202130033708</v>
      </c>
      <c r="E3521" s="10" t="s">
        <v>27</v>
      </c>
      <c r="F3521" s="6" t="s">
        <v>12</v>
      </c>
      <c r="G3521" s="8">
        <v>59.75</v>
      </c>
      <c r="H3521" s="6"/>
    </row>
    <row r="3522" spans="1:8">
      <c r="A3522" s="5">
        <v>3388</v>
      </c>
      <c r="B3522" s="6" t="str">
        <f>"谈一洁"</f>
        <v>谈一洁</v>
      </c>
      <c r="C3522" s="6" t="str">
        <f t="shared" si="166"/>
        <v>女</v>
      </c>
      <c r="D3522" s="6" t="str">
        <f>"202130033709"</f>
        <v>202130033709</v>
      </c>
      <c r="E3522" s="10" t="s">
        <v>27</v>
      </c>
      <c r="F3522" s="6" t="s">
        <v>12</v>
      </c>
      <c r="G3522" s="8">
        <v>83.7</v>
      </c>
      <c r="H3522" s="6"/>
    </row>
    <row r="3523" spans="1:8">
      <c r="A3523" s="5">
        <v>3390</v>
      </c>
      <c r="B3523" s="6" t="str">
        <f>"唐勇"</f>
        <v>唐勇</v>
      </c>
      <c r="C3523" s="6" t="str">
        <f>"男"</f>
        <v>男</v>
      </c>
      <c r="D3523" s="6" t="str">
        <f>"202130033710"</f>
        <v>202130033710</v>
      </c>
      <c r="E3523" s="10" t="s">
        <v>27</v>
      </c>
      <c r="F3523" s="6" t="s">
        <v>12</v>
      </c>
      <c r="G3523" s="8">
        <v>82.3</v>
      </c>
      <c r="H3523" s="6"/>
    </row>
    <row r="3524" spans="1:8">
      <c r="A3524" s="5">
        <v>3322</v>
      </c>
      <c r="B3524" s="6" t="str">
        <f>"陈艳"</f>
        <v>陈艳</v>
      </c>
      <c r="C3524" s="6" t="str">
        <f t="shared" ref="C3524:C3537" si="167">"女"</f>
        <v>女</v>
      </c>
      <c r="D3524" s="6" t="str">
        <f>"202130033711"</f>
        <v>202130033711</v>
      </c>
      <c r="E3524" s="10" t="s">
        <v>27</v>
      </c>
      <c r="F3524" s="6" t="s">
        <v>12</v>
      </c>
      <c r="G3524" s="8">
        <v>56.45</v>
      </c>
      <c r="H3524" s="6"/>
    </row>
    <row r="3525" spans="1:8">
      <c r="A3525" s="5">
        <v>3436</v>
      </c>
      <c r="B3525" s="6" t="str">
        <f>"彭玲"</f>
        <v>彭玲</v>
      </c>
      <c r="C3525" s="6" t="str">
        <f t="shared" si="167"/>
        <v>女</v>
      </c>
      <c r="D3525" s="6" t="str">
        <f>"202130033712"</f>
        <v>202130033712</v>
      </c>
      <c r="E3525" s="10" t="s">
        <v>27</v>
      </c>
      <c r="F3525" s="6" t="s">
        <v>12</v>
      </c>
      <c r="G3525" s="8">
        <v>80.95</v>
      </c>
      <c r="H3525" s="6"/>
    </row>
    <row r="3526" spans="1:8">
      <c r="A3526" s="5">
        <v>3392</v>
      </c>
      <c r="B3526" s="6" t="str">
        <f>"唐雅倩"</f>
        <v>唐雅倩</v>
      </c>
      <c r="C3526" s="6" t="str">
        <f t="shared" si="167"/>
        <v>女</v>
      </c>
      <c r="D3526" s="6" t="str">
        <f>"202130033713"</f>
        <v>202130033713</v>
      </c>
      <c r="E3526" s="10" t="s">
        <v>27</v>
      </c>
      <c r="F3526" s="6" t="s">
        <v>12</v>
      </c>
      <c r="G3526" s="8">
        <v>83.65</v>
      </c>
      <c r="H3526" s="6"/>
    </row>
    <row r="3527" spans="1:8">
      <c r="A3527" s="5">
        <v>3466</v>
      </c>
      <c r="B3527" s="6" t="str">
        <f>"刘滢"</f>
        <v>刘滢</v>
      </c>
      <c r="C3527" s="6" t="str">
        <f t="shared" si="167"/>
        <v>女</v>
      </c>
      <c r="D3527" s="6" t="str">
        <f>"202130033714"</f>
        <v>202130033714</v>
      </c>
      <c r="E3527" s="10" t="s">
        <v>27</v>
      </c>
      <c r="F3527" s="6" t="s">
        <v>12</v>
      </c>
      <c r="G3527" s="8">
        <v>77</v>
      </c>
      <c r="H3527" s="6"/>
    </row>
    <row r="3528" spans="1:8">
      <c r="A3528" s="5">
        <v>3448</v>
      </c>
      <c r="B3528" s="6" t="str">
        <f>"肖佳"</f>
        <v>肖佳</v>
      </c>
      <c r="C3528" s="6" t="str">
        <f t="shared" si="167"/>
        <v>女</v>
      </c>
      <c r="D3528" s="6" t="str">
        <f>"202130033715"</f>
        <v>202130033715</v>
      </c>
      <c r="E3528" s="10" t="s">
        <v>27</v>
      </c>
      <c r="F3528" s="6" t="s">
        <v>12</v>
      </c>
      <c r="G3528" s="8">
        <v>68.75</v>
      </c>
      <c r="H3528" s="6"/>
    </row>
    <row r="3529" spans="1:8">
      <c r="A3529" s="5">
        <v>3507</v>
      </c>
      <c r="B3529" s="6" t="str">
        <f>"陈之璐"</f>
        <v>陈之璐</v>
      </c>
      <c r="C3529" s="6" t="str">
        <f t="shared" si="167"/>
        <v>女</v>
      </c>
      <c r="D3529" s="6" t="str">
        <f>"202130033716"</f>
        <v>202130033716</v>
      </c>
      <c r="E3529" s="10" t="s">
        <v>27</v>
      </c>
      <c r="F3529" s="6" t="s">
        <v>12</v>
      </c>
      <c r="G3529" s="8">
        <v>88.3</v>
      </c>
      <c r="H3529" s="6"/>
    </row>
    <row r="3530" spans="1:8">
      <c r="A3530" s="5">
        <v>3310</v>
      </c>
      <c r="B3530" s="6" t="str">
        <f>"孙静"</f>
        <v>孙静</v>
      </c>
      <c r="C3530" s="6" t="str">
        <f t="shared" si="167"/>
        <v>女</v>
      </c>
      <c r="D3530" s="6" t="str">
        <f>"202130033717"</f>
        <v>202130033717</v>
      </c>
      <c r="E3530" s="10" t="s">
        <v>27</v>
      </c>
      <c r="F3530" s="6" t="s">
        <v>12</v>
      </c>
      <c r="G3530" s="8">
        <v>69.3</v>
      </c>
      <c r="H3530" s="6"/>
    </row>
    <row r="3531" spans="1:8">
      <c r="A3531" s="5">
        <v>3494</v>
      </c>
      <c r="B3531" s="6" t="str">
        <f>"阳艾令"</f>
        <v>阳艾令</v>
      </c>
      <c r="C3531" s="6" t="str">
        <f t="shared" si="167"/>
        <v>女</v>
      </c>
      <c r="D3531" s="6" t="str">
        <f>"202130033718"</f>
        <v>202130033718</v>
      </c>
      <c r="E3531" s="10" t="s">
        <v>27</v>
      </c>
      <c r="F3531" s="6" t="s">
        <v>12</v>
      </c>
      <c r="G3531" s="8">
        <v>93</v>
      </c>
      <c r="H3531" s="6"/>
    </row>
    <row r="3532" spans="1:8">
      <c r="A3532" s="5">
        <v>3329</v>
      </c>
      <c r="B3532" s="6" t="str">
        <f>"李秋艳"</f>
        <v>李秋艳</v>
      </c>
      <c r="C3532" s="6" t="str">
        <f t="shared" si="167"/>
        <v>女</v>
      </c>
      <c r="D3532" s="6" t="str">
        <f>"202130033719"</f>
        <v>202130033719</v>
      </c>
      <c r="E3532" s="10" t="s">
        <v>27</v>
      </c>
      <c r="F3532" s="6" t="s">
        <v>12</v>
      </c>
      <c r="G3532" s="8">
        <v>57</v>
      </c>
      <c r="H3532" s="6"/>
    </row>
    <row r="3533" spans="1:8">
      <c r="A3533" s="5">
        <v>3423</v>
      </c>
      <c r="B3533" s="6" t="str">
        <f>"莫子茵"</f>
        <v>莫子茵</v>
      </c>
      <c r="C3533" s="6" t="str">
        <f t="shared" si="167"/>
        <v>女</v>
      </c>
      <c r="D3533" s="6" t="str">
        <f>"202130033720"</f>
        <v>202130033720</v>
      </c>
      <c r="E3533" s="10" t="s">
        <v>27</v>
      </c>
      <c r="F3533" s="6" t="s">
        <v>12</v>
      </c>
      <c r="G3533" s="8">
        <v>69.05</v>
      </c>
      <c r="H3533" s="6"/>
    </row>
    <row r="3534" spans="1:8">
      <c r="A3534" s="5">
        <v>3446</v>
      </c>
      <c r="B3534" s="6" t="str">
        <f>"李珂"</f>
        <v>李珂</v>
      </c>
      <c r="C3534" s="6" t="str">
        <f t="shared" si="167"/>
        <v>女</v>
      </c>
      <c r="D3534" s="6" t="str">
        <f>"202130033721"</f>
        <v>202130033721</v>
      </c>
      <c r="E3534" s="10" t="s">
        <v>27</v>
      </c>
      <c r="F3534" s="6" t="s">
        <v>12</v>
      </c>
      <c r="G3534" s="8">
        <v>71.95</v>
      </c>
      <c r="H3534" s="6"/>
    </row>
    <row r="3535" spans="1:8">
      <c r="A3535" s="5">
        <v>3422</v>
      </c>
      <c r="B3535" s="6" t="str">
        <f>"吴佩"</f>
        <v>吴佩</v>
      </c>
      <c r="C3535" s="6" t="str">
        <f t="shared" si="167"/>
        <v>女</v>
      </c>
      <c r="D3535" s="6" t="str">
        <f>"202130033722"</f>
        <v>202130033722</v>
      </c>
      <c r="E3535" s="10" t="s">
        <v>27</v>
      </c>
      <c r="F3535" s="6" t="s">
        <v>12</v>
      </c>
      <c r="G3535" s="8">
        <v>83.15</v>
      </c>
      <c r="H3535" s="6"/>
    </row>
    <row r="3536" spans="1:8">
      <c r="A3536" s="5">
        <v>3404</v>
      </c>
      <c r="B3536" s="6" t="str">
        <f>"伍凌琴"</f>
        <v>伍凌琴</v>
      </c>
      <c r="C3536" s="6" t="str">
        <f t="shared" si="167"/>
        <v>女</v>
      </c>
      <c r="D3536" s="6" t="str">
        <f>"202130033723"</f>
        <v>202130033723</v>
      </c>
      <c r="E3536" s="10" t="s">
        <v>27</v>
      </c>
      <c r="F3536" s="6" t="s">
        <v>12</v>
      </c>
      <c r="G3536" s="8">
        <v>69.599999999999994</v>
      </c>
      <c r="H3536" s="6"/>
    </row>
    <row r="3537" spans="1:8">
      <c r="A3537" s="5">
        <v>3389</v>
      </c>
      <c r="B3537" s="6" t="str">
        <f>"邹小丽"</f>
        <v>邹小丽</v>
      </c>
      <c r="C3537" s="6" t="str">
        <f t="shared" si="167"/>
        <v>女</v>
      </c>
      <c r="D3537" s="6" t="str">
        <f>"202130033724"</f>
        <v>202130033724</v>
      </c>
      <c r="E3537" s="10" t="s">
        <v>27</v>
      </c>
      <c r="F3537" s="6" t="s">
        <v>12</v>
      </c>
      <c r="G3537" s="8">
        <v>0</v>
      </c>
      <c r="H3537" s="9">
        <v>1</v>
      </c>
    </row>
    <row r="3538" spans="1:8">
      <c r="A3538" s="5">
        <v>3367</v>
      </c>
      <c r="B3538" s="6" t="str">
        <f>"孟思孝"</f>
        <v>孟思孝</v>
      </c>
      <c r="C3538" s="6" t="str">
        <f>"男"</f>
        <v>男</v>
      </c>
      <c r="D3538" s="6" t="str">
        <f>"202130033725"</f>
        <v>202130033725</v>
      </c>
      <c r="E3538" s="10" t="s">
        <v>27</v>
      </c>
      <c r="F3538" s="6" t="s">
        <v>12</v>
      </c>
      <c r="G3538" s="8">
        <v>85.35</v>
      </c>
      <c r="H3538" s="6"/>
    </row>
    <row r="3539" spans="1:8">
      <c r="A3539" s="5">
        <v>3355</v>
      </c>
      <c r="B3539" s="6" t="str">
        <f>"刘珂"</f>
        <v>刘珂</v>
      </c>
      <c r="C3539" s="6" t="str">
        <f t="shared" ref="C3539:C3555" si="168">"女"</f>
        <v>女</v>
      </c>
      <c r="D3539" s="6" t="str">
        <f>"202130033726"</f>
        <v>202130033726</v>
      </c>
      <c r="E3539" s="10" t="s">
        <v>27</v>
      </c>
      <c r="F3539" s="6" t="s">
        <v>12</v>
      </c>
      <c r="G3539" s="8">
        <v>63.7</v>
      </c>
      <c r="H3539" s="6"/>
    </row>
    <row r="3540" spans="1:8">
      <c r="A3540" s="5">
        <v>3399</v>
      </c>
      <c r="B3540" s="6" t="str">
        <f>"申炜婷"</f>
        <v>申炜婷</v>
      </c>
      <c r="C3540" s="6" t="str">
        <f t="shared" si="168"/>
        <v>女</v>
      </c>
      <c r="D3540" s="6" t="str">
        <f>"202130033727"</f>
        <v>202130033727</v>
      </c>
      <c r="E3540" s="10" t="s">
        <v>27</v>
      </c>
      <c r="F3540" s="6" t="s">
        <v>12</v>
      </c>
      <c r="G3540" s="8">
        <v>68.8</v>
      </c>
      <c r="H3540" s="6"/>
    </row>
    <row r="3541" spans="1:8">
      <c r="A3541" s="5">
        <v>3521</v>
      </c>
      <c r="B3541" s="6" t="str">
        <f>"潘韵琪"</f>
        <v>潘韵琪</v>
      </c>
      <c r="C3541" s="6" t="str">
        <f t="shared" si="168"/>
        <v>女</v>
      </c>
      <c r="D3541" s="6" t="str">
        <f>"202130033728"</f>
        <v>202130033728</v>
      </c>
      <c r="E3541" s="10" t="s">
        <v>27</v>
      </c>
      <c r="F3541" s="6" t="s">
        <v>12</v>
      </c>
      <c r="G3541" s="8">
        <v>70.2</v>
      </c>
      <c r="H3541" s="6"/>
    </row>
    <row r="3542" spans="1:8">
      <c r="A3542" s="5">
        <v>3431</v>
      </c>
      <c r="B3542" s="6" t="str">
        <f>"文玲玲"</f>
        <v>文玲玲</v>
      </c>
      <c r="C3542" s="6" t="str">
        <f t="shared" si="168"/>
        <v>女</v>
      </c>
      <c r="D3542" s="6" t="str">
        <f>"202130033729"</f>
        <v>202130033729</v>
      </c>
      <c r="E3542" s="10" t="s">
        <v>27</v>
      </c>
      <c r="F3542" s="6" t="s">
        <v>12</v>
      </c>
      <c r="G3542" s="8">
        <v>61.8</v>
      </c>
      <c r="H3542" s="6"/>
    </row>
    <row r="3543" spans="1:8">
      <c r="A3543" s="5">
        <v>3346</v>
      </c>
      <c r="B3543" s="6" t="str">
        <f>"龚凤婷"</f>
        <v>龚凤婷</v>
      </c>
      <c r="C3543" s="6" t="str">
        <f t="shared" si="168"/>
        <v>女</v>
      </c>
      <c r="D3543" s="6" t="str">
        <f>"202130033730"</f>
        <v>202130033730</v>
      </c>
      <c r="E3543" s="10" t="s">
        <v>27</v>
      </c>
      <c r="F3543" s="6" t="s">
        <v>12</v>
      </c>
      <c r="G3543" s="8">
        <v>54.1</v>
      </c>
      <c r="H3543" s="6"/>
    </row>
    <row r="3544" spans="1:8">
      <c r="A3544" s="5">
        <v>3518</v>
      </c>
      <c r="B3544" s="6" t="str">
        <f>"孟玉婷"</f>
        <v>孟玉婷</v>
      </c>
      <c r="C3544" s="6" t="str">
        <f t="shared" si="168"/>
        <v>女</v>
      </c>
      <c r="D3544" s="6" t="str">
        <f>"202130033801"</f>
        <v>202130033801</v>
      </c>
      <c r="E3544" s="10" t="s">
        <v>27</v>
      </c>
      <c r="F3544" s="6" t="s">
        <v>12</v>
      </c>
      <c r="G3544" s="8">
        <v>64.2</v>
      </c>
      <c r="H3544" s="6"/>
    </row>
    <row r="3545" spans="1:8">
      <c r="A3545" s="5">
        <v>3371</v>
      </c>
      <c r="B3545" s="6" t="str">
        <f>"夏紫萱"</f>
        <v>夏紫萱</v>
      </c>
      <c r="C3545" s="6" t="str">
        <f t="shared" si="168"/>
        <v>女</v>
      </c>
      <c r="D3545" s="6" t="str">
        <f>"202130033802"</f>
        <v>202130033802</v>
      </c>
      <c r="E3545" s="10" t="s">
        <v>27</v>
      </c>
      <c r="F3545" s="6" t="s">
        <v>12</v>
      </c>
      <c r="G3545" s="8">
        <v>45.3</v>
      </c>
      <c r="H3545" s="6"/>
    </row>
    <row r="3546" spans="1:8">
      <c r="A3546" s="5">
        <v>3372</v>
      </c>
      <c r="B3546" s="6" t="str">
        <f>"肖涵漪"</f>
        <v>肖涵漪</v>
      </c>
      <c r="C3546" s="6" t="str">
        <f t="shared" si="168"/>
        <v>女</v>
      </c>
      <c r="D3546" s="6" t="str">
        <f>"202130033803"</f>
        <v>202130033803</v>
      </c>
      <c r="E3546" s="10" t="s">
        <v>27</v>
      </c>
      <c r="F3546" s="6" t="s">
        <v>12</v>
      </c>
      <c r="G3546" s="8">
        <v>85.75</v>
      </c>
      <c r="H3546" s="6"/>
    </row>
    <row r="3547" spans="1:8">
      <c r="A3547" s="5">
        <v>3380</v>
      </c>
      <c r="B3547" s="6" t="str">
        <f>"熊婵娟"</f>
        <v>熊婵娟</v>
      </c>
      <c r="C3547" s="6" t="str">
        <f t="shared" si="168"/>
        <v>女</v>
      </c>
      <c r="D3547" s="6" t="str">
        <f>"202130033804"</f>
        <v>202130033804</v>
      </c>
      <c r="E3547" s="10" t="s">
        <v>27</v>
      </c>
      <c r="F3547" s="6" t="s">
        <v>12</v>
      </c>
      <c r="G3547" s="8">
        <v>81.599999999999994</v>
      </c>
      <c r="H3547" s="6"/>
    </row>
    <row r="3548" spans="1:8">
      <c r="A3548" s="5">
        <v>3516</v>
      </c>
      <c r="B3548" s="6" t="str">
        <f>"姚璐"</f>
        <v>姚璐</v>
      </c>
      <c r="C3548" s="6" t="str">
        <f t="shared" si="168"/>
        <v>女</v>
      </c>
      <c r="D3548" s="6" t="str">
        <f>"202130033805"</f>
        <v>202130033805</v>
      </c>
      <c r="E3548" s="10" t="s">
        <v>27</v>
      </c>
      <c r="F3548" s="6" t="s">
        <v>12</v>
      </c>
      <c r="G3548" s="8">
        <v>65.5</v>
      </c>
      <c r="H3548" s="6"/>
    </row>
    <row r="3549" spans="1:8">
      <c r="A3549" s="5">
        <v>3493</v>
      </c>
      <c r="B3549" s="6" t="str">
        <f>"邓子颖"</f>
        <v>邓子颖</v>
      </c>
      <c r="C3549" s="6" t="str">
        <f t="shared" si="168"/>
        <v>女</v>
      </c>
      <c r="D3549" s="6" t="str">
        <f>"202130033806"</f>
        <v>202130033806</v>
      </c>
      <c r="E3549" s="10" t="s">
        <v>27</v>
      </c>
      <c r="F3549" s="6" t="s">
        <v>12</v>
      </c>
      <c r="G3549" s="8">
        <v>74.75</v>
      </c>
      <c r="H3549" s="6"/>
    </row>
    <row r="3550" spans="1:8">
      <c r="A3550" s="5">
        <v>3457</v>
      </c>
      <c r="B3550" s="6" t="str">
        <f>"陶紫薇"</f>
        <v>陶紫薇</v>
      </c>
      <c r="C3550" s="6" t="str">
        <f t="shared" si="168"/>
        <v>女</v>
      </c>
      <c r="D3550" s="6" t="str">
        <f>"202130033807"</f>
        <v>202130033807</v>
      </c>
      <c r="E3550" s="10" t="s">
        <v>27</v>
      </c>
      <c r="F3550" s="6" t="s">
        <v>12</v>
      </c>
      <c r="G3550" s="8">
        <v>87.1</v>
      </c>
      <c r="H3550" s="6"/>
    </row>
    <row r="3551" spans="1:8">
      <c r="A3551" s="5">
        <v>3433</v>
      </c>
      <c r="B3551" s="6" t="str">
        <f>"曾丽"</f>
        <v>曾丽</v>
      </c>
      <c r="C3551" s="6" t="str">
        <f t="shared" si="168"/>
        <v>女</v>
      </c>
      <c r="D3551" s="6" t="str">
        <f>"202130033808"</f>
        <v>202130033808</v>
      </c>
      <c r="E3551" s="10" t="s">
        <v>27</v>
      </c>
      <c r="F3551" s="6" t="s">
        <v>12</v>
      </c>
      <c r="G3551" s="8">
        <v>82.7</v>
      </c>
      <c r="H3551" s="6"/>
    </row>
    <row r="3552" spans="1:8">
      <c r="A3552" s="5">
        <v>3524</v>
      </c>
      <c r="B3552" s="6" t="str">
        <f>"尹珊"</f>
        <v>尹珊</v>
      </c>
      <c r="C3552" s="6" t="str">
        <f t="shared" si="168"/>
        <v>女</v>
      </c>
      <c r="D3552" s="6" t="str">
        <f>"202130033809"</f>
        <v>202130033809</v>
      </c>
      <c r="E3552" s="10" t="s">
        <v>27</v>
      </c>
      <c r="F3552" s="6" t="s">
        <v>12</v>
      </c>
      <c r="G3552" s="8">
        <v>43.75</v>
      </c>
      <c r="H3552" s="6"/>
    </row>
    <row r="3553" spans="1:8">
      <c r="A3553" s="5">
        <v>3438</v>
      </c>
      <c r="B3553" s="6" t="str">
        <f>"颜蕾"</f>
        <v>颜蕾</v>
      </c>
      <c r="C3553" s="6" t="str">
        <f t="shared" si="168"/>
        <v>女</v>
      </c>
      <c r="D3553" s="6" t="str">
        <f>"202130033810"</f>
        <v>202130033810</v>
      </c>
      <c r="E3553" s="10" t="s">
        <v>27</v>
      </c>
      <c r="F3553" s="6" t="s">
        <v>12</v>
      </c>
      <c r="G3553" s="8">
        <v>87.8</v>
      </c>
      <c r="H3553" s="6"/>
    </row>
    <row r="3554" spans="1:8">
      <c r="A3554" s="5">
        <v>3477</v>
      </c>
      <c r="B3554" s="6" t="str">
        <f>"张丽娟"</f>
        <v>张丽娟</v>
      </c>
      <c r="C3554" s="6" t="str">
        <f t="shared" si="168"/>
        <v>女</v>
      </c>
      <c r="D3554" s="6" t="str">
        <f>"202130033811"</f>
        <v>202130033811</v>
      </c>
      <c r="E3554" s="10" t="s">
        <v>27</v>
      </c>
      <c r="F3554" s="6" t="s">
        <v>12</v>
      </c>
      <c r="G3554" s="8">
        <v>71.75</v>
      </c>
      <c r="H3554" s="6"/>
    </row>
    <row r="3555" spans="1:8">
      <c r="A3555" s="5">
        <v>3513</v>
      </c>
      <c r="B3555" s="6" t="str">
        <f>"李洁"</f>
        <v>李洁</v>
      </c>
      <c r="C3555" s="6" t="str">
        <f t="shared" si="168"/>
        <v>女</v>
      </c>
      <c r="D3555" s="6" t="str">
        <f>"202130033812"</f>
        <v>202130033812</v>
      </c>
      <c r="E3555" s="10" t="s">
        <v>27</v>
      </c>
      <c r="F3555" s="6" t="s">
        <v>12</v>
      </c>
      <c r="G3555" s="8">
        <v>61.4</v>
      </c>
      <c r="H3555" s="6"/>
    </row>
    <row r="3556" spans="1:8">
      <c r="A3556" s="5">
        <v>3333</v>
      </c>
      <c r="B3556" s="6" t="str">
        <f>"谢明鑫"</f>
        <v>谢明鑫</v>
      </c>
      <c r="C3556" s="6" t="str">
        <f>"男"</f>
        <v>男</v>
      </c>
      <c r="D3556" s="6" t="str">
        <f>"202130033813"</f>
        <v>202130033813</v>
      </c>
      <c r="E3556" s="10" t="s">
        <v>27</v>
      </c>
      <c r="F3556" s="6" t="s">
        <v>12</v>
      </c>
      <c r="G3556" s="8">
        <v>56.5</v>
      </c>
      <c r="H3556" s="6"/>
    </row>
    <row r="3557" spans="1:8">
      <c r="A3557" s="5">
        <v>3381</v>
      </c>
      <c r="B3557" s="6" t="str">
        <f>"李睿"</f>
        <v>李睿</v>
      </c>
      <c r="C3557" s="6" t="str">
        <f t="shared" ref="C3557:C3575" si="169">"女"</f>
        <v>女</v>
      </c>
      <c r="D3557" s="6" t="str">
        <f>"202130033814"</f>
        <v>202130033814</v>
      </c>
      <c r="E3557" s="10" t="s">
        <v>27</v>
      </c>
      <c r="F3557" s="6" t="s">
        <v>12</v>
      </c>
      <c r="G3557" s="8">
        <v>56.7</v>
      </c>
      <c r="H3557" s="6"/>
    </row>
    <row r="3558" spans="1:8">
      <c r="A3558" s="5">
        <v>3520</v>
      </c>
      <c r="B3558" s="6" t="str">
        <f>"杨烨青"</f>
        <v>杨烨青</v>
      </c>
      <c r="C3558" s="6" t="str">
        <f t="shared" si="169"/>
        <v>女</v>
      </c>
      <c r="D3558" s="6" t="str">
        <f>"202130033815"</f>
        <v>202130033815</v>
      </c>
      <c r="E3558" s="10" t="s">
        <v>27</v>
      </c>
      <c r="F3558" s="6" t="s">
        <v>12</v>
      </c>
      <c r="G3558" s="8">
        <v>78.7</v>
      </c>
      <c r="H3558" s="6"/>
    </row>
    <row r="3559" spans="1:8">
      <c r="A3559" s="5">
        <v>3420</v>
      </c>
      <c r="B3559" s="6" t="str">
        <f>"简香平"</f>
        <v>简香平</v>
      </c>
      <c r="C3559" s="6" t="str">
        <f t="shared" si="169"/>
        <v>女</v>
      </c>
      <c r="D3559" s="6" t="str">
        <f>"202130033816"</f>
        <v>202130033816</v>
      </c>
      <c r="E3559" s="10" t="s">
        <v>27</v>
      </c>
      <c r="F3559" s="6" t="s">
        <v>12</v>
      </c>
      <c r="G3559" s="8">
        <v>93.25</v>
      </c>
      <c r="H3559" s="6"/>
    </row>
    <row r="3560" spans="1:8">
      <c r="A3560" s="5">
        <v>3499</v>
      </c>
      <c r="B3560" s="6" t="str">
        <f>"朱梦路"</f>
        <v>朱梦路</v>
      </c>
      <c r="C3560" s="6" t="str">
        <f t="shared" si="169"/>
        <v>女</v>
      </c>
      <c r="D3560" s="6" t="str">
        <f>"202130033817"</f>
        <v>202130033817</v>
      </c>
      <c r="E3560" s="10" t="s">
        <v>27</v>
      </c>
      <c r="F3560" s="6" t="s">
        <v>12</v>
      </c>
      <c r="G3560" s="8">
        <v>82.6</v>
      </c>
      <c r="H3560" s="6"/>
    </row>
    <row r="3561" spans="1:8">
      <c r="A3561" s="5">
        <v>3525</v>
      </c>
      <c r="B3561" s="6" t="str">
        <f>"陈宝琛"</f>
        <v>陈宝琛</v>
      </c>
      <c r="C3561" s="6" t="str">
        <f t="shared" si="169"/>
        <v>女</v>
      </c>
      <c r="D3561" s="6" t="str">
        <f>"202130033818"</f>
        <v>202130033818</v>
      </c>
      <c r="E3561" s="10" t="s">
        <v>27</v>
      </c>
      <c r="F3561" s="6" t="s">
        <v>12</v>
      </c>
      <c r="G3561" s="8">
        <v>69</v>
      </c>
      <c r="H3561" s="6"/>
    </row>
    <row r="3562" spans="1:8">
      <c r="A3562" s="5">
        <v>3299</v>
      </c>
      <c r="B3562" s="6" t="str">
        <f>"刘英"</f>
        <v>刘英</v>
      </c>
      <c r="C3562" s="6" t="str">
        <f t="shared" si="169"/>
        <v>女</v>
      </c>
      <c r="D3562" s="6" t="str">
        <f>"202130033819"</f>
        <v>202130033819</v>
      </c>
      <c r="E3562" s="10" t="s">
        <v>27</v>
      </c>
      <c r="F3562" s="6" t="s">
        <v>12</v>
      </c>
      <c r="G3562" s="8">
        <v>61.9</v>
      </c>
      <c r="H3562" s="6"/>
    </row>
    <row r="3563" spans="1:8">
      <c r="A3563" s="5">
        <v>3411</v>
      </c>
      <c r="B3563" s="6" t="str">
        <f>"邵珍"</f>
        <v>邵珍</v>
      </c>
      <c r="C3563" s="6" t="str">
        <f t="shared" si="169"/>
        <v>女</v>
      </c>
      <c r="D3563" s="6" t="str">
        <f>"202130033820"</f>
        <v>202130033820</v>
      </c>
      <c r="E3563" s="10" t="s">
        <v>27</v>
      </c>
      <c r="F3563" s="6" t="s">
        <v>12</v>
      </c>
      <c r="G3563" s="8">
        <v>69.95</v>
      </c>
      <c r="H3563" s="6"/>
    </row>
    <row r="3564" spans="1:8">
      <c r="A3564" s="5">
        <v>3428</v>
      </c>
      <c r="B3564" s="6" t="str">
        <f>"岳菊红"</f>
        <v>岳菊红</v>
      </c>
      <c r="C3564" s="6" t="str">
        <f t="shared" si="169"/>
        <v>女</v>
      </c>
      <c r="D3564" s="6" t="str">
        <f>"202130033821"</f>
        <v>202130033821</v>
      </c>
      <c r="E3564" s="10" t="s">
        <v>27</v>
      </c>
      <c r="F3564" s="6" t="s">
        <v>12</v>
      </c>
      <c r="G3564" s="8">
        <v>90.75</v>
      </c>
      <c r="H3564" s="6"/>
    </row>
    <row r="3565" spans="1:8">
      <c r="A3565" s="5">
        <v>3492</v>
      </c>
      <c r="B3565" s="6" t="str">
        <f>"海洁"</f>
        <v>海洁</v>
      </c>
      <c r="C3565" s="6" t="str">
        <f t="shared" si="169"/>
        <v>女</v>
      </c>
      <c r="D3565" s="6" t="str">
        <f>"202130033822"</f>
        <v>202130033822</v>
      </c>
      <c r="E3565" s="10" t="s">
        <v>27</v>
      </c>
      <c r="F3565" s="6" t="s">
        <v>12</v>
      </c>
      <c r="G3565" s="8">
        <v>69.900000000000006</v>
      </c>
      <c r="H3565" s="6"/>
    </row>
    <row r="3566" spans="1:8">
      <c r="A3566" s="5">
        <v>3315</v>
      </c>
      <c r="B3566" s="6" t="str">
        <f>"张多芳"</f>
        <v>张多芳</v>
      </c>
      <c r="C3566" s="6" t="str">
        <f t="shared" si="169"/>
        <v>女</v>
      </c>
      <c r="D3566" s="6" t="str">
        <f>"202130033823"</f>
        <v>202130033823</v>
      </c>
      <c r="E3566" s="10" t="s">
        <v>27</v>
      </c>
      <c r="F3566" s="6" t="s">
        <v>12</v>
      </c>
      <c r="G3566" s="8">
        <v>78.849999999999994</v>
      </c>
      <c r="H3566" s="6"/>
    </row>
    <row r="3567" spans="1:8">
      <c r="A3567" s="5">
        <v>3323</v>
      </c>
      <c r="B3567" s="6" t="str">
        <f>"卿佳林"</f>
        <v>卿佳林</v>
      </c>
      <c r="C3567" s="6" t="str">
        <f t="shared" si="169"/>
        <v>女</v>
      </c>
      <c r="D3567" s="6" t="str">
        <f>"202130033824"</f>
        <v>202130033824</v>
      </c>
      <c r="E3567" s="10" t="s">
        <v>27</v>
      </c>
      <c r="F3567" s="6" t="s">
        <v>12</v>
      </c>
      <c r="G3567" s="8">
        <v>69.3</v>
      </c>
      <c r="H3567" s="6"/>
    </row>
    <row r="3568" spans="1:8">
      <c r="A3568" s="5">
        <v>3470</v>
      </c>
      <c r="B3568" s="6" t="str">
        <f>"邓丽娜"</f>
        <v>邓丽娜</v>
      </c>
      <c r="C3568" s="6" t="str">
        <f t="shared" si="169"/>
        <v>女</v>
      </c>
      <c r="D3568" s="6" t="str">
        <f>"202130033825"</f>
        <v>202130033825</v>
      </c>
      <c r="E3568" s="10" t="s">
        <v>27</v>
      </c>
      <c r="F3568" s="6" t="s">
        <v>12</v>
      </c>
      <c r="G3568" s="8">
        <v>63</v>
      </c>
      <c r="H3568" s="6"/>
    </row>
    <row r="3569" spans="1:8">
      <c r="A3569" s="5">
        <v>3465</v>
      </c>
      <c r="B3569" s="6" t="str">
        <f>"周萍"</f>
        <v>周萍</v>
      </c>
      <c r="C3569" s="6" t="str">
        <f t="shared" si="169"/>
        <v>女</v>
      </c>
      <c r="D3569" s="6" t="str">
        <f>"202130033826"</f>
        <v>202130033826</v>
      </c>
      <c r="E3569" s="10" t="s">
        <v>27</v>
      </c>
      <c r="F3569" s="6" t="s">
        <v>12</v>
      </c>
      <c r="G3569" s="8">
        <v>87.6</v>
      </c>
      <c r="H3569" s="6"/>
    </row>
    <row r="3570" spans="1:8">
      <c r="A3570" s="5">
        <v>3441</v>
      </c>
      <c r="B3570" s="6" t="str">
        <f>"唐文"</f>
        <v>唐文</v>
      </c>
      <c r="C3570" s="6" t="str">
        <f t="shared" si="169"/>
        <v>女</v>
      </c>
      <c r="D3570" s="6" t="str">
        <f>"202130033827"</f>
        <v>202130033827</v>
      </c>
      <c r="E3570" s="10" t="s">
        <v>27</v>
      </c>
      <c r="F3570" s="6" t="s">
        <v>12</v>
      </c>
      <c r="G3570" s="8">
        <v>63.3</v>
      </c>
      <c r="H3570" s="6"/>
    </row>
    <row r="3571" spans="1:8">
      <c r="A3571" s="5">
        <v>3490</v>
      </c>
      <c r="B3571" s="6" t="str">
        <f>"龙佳"</f>
        <v>龙佳</v>
      </c>
      <c r="C3571" s="6" t="str">
        <f t="shared" si="169"/>
        <v>女</v>
      </c>
      <c r="D3571" s="6" t="str">
        <f>"202130033828"</f>
        <v>202130033828</v>
      </c>
      <c r="E3571" s="10" t="s">
        <v>27</v>
      </c>
      <c r="F3571" s="6" t="s">
        <v>12</v>
      </c>
      <c r="G3571" s="8">
        <v>67.3</v>
      </c>
      <c r="H3571" s="6"/>
    </row>
    <row r="3572" spans="1:8">
      <c r="A3572" s="5">
        <v>3363</v>
      </c>
      <c r="B3572" s="6" t="str">
        <f>"李蔡琦"</f>
        <v>李蔡琦</v>
      </c>
      <c r="C3572" s="6" t="str">
        <f t="shared" si="169"/>
        <v>女</v>
      </c>
      <c r="D3572" s="6" t="str">
        <f>"202130033829"</f>
        <v>202130033829</v>
      </c>
      <c r="E3572" s="10" t="s">
        <v>27</v>
      </c>
      <c r="F3572" s="6" t="s">
        <v>12</v>
      </c>
      <c r="G3572" s="8">
        <v>75.3</v>
      </c>
      <c r="H3572" s="6"/>
    </row>
    <row r="3573" spans="1:8">
      <c r="A3573" s="5">
        <v>3440</v>
      </c>
      <c r="B3573" s="6" t="str">
        <f>"黎毓"</f>
        <v>黎毓</v>
      </c>
      <c r="C3573" s="6" t="str">
        <f t="shared" si="169"/>
        <v>女</v>
      </c>
      <c r="D3573" s="6" t="str">
        <f>"202130033830"</f>
        <v>202130033830</v>
      </c>
      <c r="E3573" s="10" t="s">
        <v>27</v>
      </c>
      <c r="F3573" s="6" t="s">
        <v>12</v>
      </c>
      <c r="G3573" s="8">
        <v>77.55</v>
      </c>
      <c r="H3573" s="6"/>
    </row>
    <row r="3574" spans="1:8">
      <c r="A3574" s="5">
        <v>3514</v>
      </c>
      <c r="B3574" s="6" t="str">
        <f>"杨雪"</f>
        <v>杨雪</v>
      </c>
      <c r="C3574" s="6" t="str">
        <f t="shared" si="169"/>
        <v>女</v>
      </c>
      <c r="D3574" s="6" t="str">
        <f>"202130033901"</f>
        <v>202130033901</v>
      </c>
      <c r="E3574" s="10" t="s">
        <v>27</v>
      </c>
      <c r="F3574" s="6" t="s">
        <v>12</v>
      </c>
      <c r="G3574" s="8">
        <v>51.65</v>
      </c>
      <c r="H3574" s="6"/>
    </row>
    <row r="3575" spans="1:8">
      <c r="A3575" s="5">
        <v>3394</v>
      </c>
      <c r="B3575" s="6" t="str">
        <f>"孙静"</f>
        <v>孙静</v>
      </c>
      <c r="C3575" s="6" t="str">
        <f t="shared" si="169"/>
        <v>女</v>
      </c>
      <c r="D3575" s="6" t="str">
        <f>"202130033902"</f>
        <v>202130033902</v>
      </c>
      <c r="E3575" s="10" t="s">
        <v>27</v>
      </c>
      <c r="F3575" s="6" t="s">
        <v>12</v>
      </c>
      <c r="G3575" s="8">
        <v>84.6</v>
      </c>
      <c r="H3575" s="6"/>
    </row>
    <row r="3576" spans="1:8">
      <c r="A3576" s="5">
        <v>3302</v>
      </c>
      <c r="B3576" s="6" t="str">
        <f>"程磊"</f>
        <v>程磊</v>
      </c>
      <c r="C3576" s="6" t="str">
        <f>"男"</f>
        <v>男</v>
      </c>
      <c r="D3576" s="6" t="str">
        <f>"202130033903"</f>
        <v>202130033903</v>
      </c>
      <c r="E3576" s="10" t="s">
        <v>27</v>
      </c>
      <c r="F3576" s="6" t="s">
        <v>12</v>
      </c>
      <c r="G3576" s="8">
        <v>78.849999999999994</v>
      </c>
      <c r="H3576" s="6"/>
    </row>
    <row r="3577" spans="1:8">
      <c r="A3577" s="5">
        <v>3485</v>
      </c>
      <c r="B3577" s="6" t="str">
        <f>"罗梦珠"</f>
        <v>罗梦珠</v>
      </c>
      <c r="C3577" s="6" t="str">
        <f>"女"</f>
        <v>女</v>
      </c>
      <c r="D3577" s="6" t="str">
        <f>"202130033904"</f>
        <v>202130033904</v>
      </c>
      <c r="E3577" s="10" t="s">
        <v>27</v>
      </c>
      <c r="F3577" s="6" t="s">
        <v>12</v>
      </c>
      <c r="G3577" s="8">
        <v>55.9</v>
      </c>
      <c r="H3577" s="6"/>
    </row>
    <row r="3578" spans="1:8">
      <c r="A3578" s="5">
        <v>3357</v>
      </c>
      <c r="B3578" s="6" t="str">
        <f>"刘星星"</f>
        <v>刘星星</v>
      </c>
      <c r="C3578" s="6" t="str">
        <f>"女"</f>
        <v>女</v>
      </c>
      <c r="D3578" s="6" t="str">
        <f>"202130033905"</f>
        <v>202130033905</v>
      </c>
      <c r="E3578" s="10" t="s">
        <v>27</v>
      </c>
      <c r="F3578" s="6" t="s">
        <v>12</v>
      </c>
      <c r="G3578" s="8">
        <v>68.3</v>
      </c>
      <c r="H3578" s="6"/>
    </row>
    <row r="3579" spans="1:8">
      <c r="A3579" s="5">
        <v>3373</v>
      </c>
      <c r="B3579" s="6" t="str">
        <f>"吴雪冰"</f>
        <v>吴雪冰</v>
      </c>
      <c r="C3579" s="6" t="str">
        <f>"女"</f>
        <v>女</v>
      </c>
      <c r="D3579" s="6" t="str">
        <f>"202130033906"</f>
        <v>202130033906</v>
      </c>
      <c r="E3579" s="10" t="s">
        <v>27</v>
      </c>
      <c r="F3579" s="6" t="s">
        <v>12</v>
      </c>
      <c r="G3579" s="8">
        <v>65.849999999999994</v>
      </c>
      <c r="H3579" s="6"/>
    </row>
    <row r="3580" spans="1:8">
      <c r="A3580" s="5">
        <v>3424</v>
      </c>
      <c r="B3580" s="6" t="str">
        <f>"孙佩玲"</f>
        <v>孙佩玲</v>
      </c>
      <c r="C3580" s="6" t="str">
        <f>"女"</f>
        <v>女</v>
      </c>
      <c r="D3580" s="6" t="str">
        <f>"202130033907"</f>
        <v>202130033907</v>
      </c>
      <c r="E3580" s="10" t="s">
        <v>27</v>
      </c>
      <c r="F3580" s="6" t="s">
        <v>12</v>
      </c>
      <c r="G3580" s="8">
        <v>89.25</v>
      </c>
      <c r="H3580" s="6"/>
    </row>
    <row r="3581" spans="1:8">
      <c r="A3581" s="5">
        <v>3406</v>
      </c>
      <c r="B3581" s="6" t="str">
        <f>"汪浩"</f>
        <v>汪浩</v>
      </c>
      <c r="C3581" s="6" t="str">
        <f>"男"</f>
        <v>男</v>
      </c>
      <c r="D3581" s="6" t="str">
        <f>"202130033908"</f>
        <v>202130033908</v>
      </c>
      <c r="E3581" s="10" t="s">
        <v>27</v>
      </c>
      <c r="F3581" s="6" t="s">
        <v>12</v>
      </c>
      <c r="G3581" s="8">
        <v>87</v>
      </c>
      <c r="H3581" s="6"/>
    </row>
    <row r="3582" spans="1:8">
      <c r="A3582" s="5">
        <v>3319</v>
      </c>
      <c r="B3582" s="6" t="str">
        <f>"周密"</f>
        <v>周密</v>
      </c>
      <c r="C3582" s="6" t="str">
        <f t="shared" ref="C3582:C3599" si="170">"女"</f>
        <v>女</v>
      </c>
      <c r="D3582" s="6" t="str">
        <f>"202130033909"</f>
        <v>202130033909</v>
      </c>
      <c r="E3582" s="10" t="s">
        <v>27</v>
      </c>
      <c r="F3582" s="6" t="s">
        <v>12</v>
      </c>
      <c r="G3582" s="8">
        <v>72.05</v>
      </c>
      <c r="H3582" s="6"/>
    </row>
    <row r="3583" spans="1:8">
      <c r="A3583" s="5">
        <v>3463</v>
      </c>
      <c r="B3583" s="6" t="str">
        <f>"刘瑾"</f>
        <v>刘瑾</v>
      </c>
      <c r="C3583" s="6" t="str">
        <f t="shared" si="170"/>
        <v>女</v>
      </c>
      <c r="D3583" s="6" t="str">
        <f>"202130033910"</f>
        <v>202130033910</v>
      </c>
      <c r="E3583" s="10" t="s">
        <v>27</v>
      </c>
      <c r="F3583" s="6" t="s">
        <v>12</v>
      </c>
      <c r="G3583" s="8">
        <v>78.349999999999994</v>
      </c>
      <c r="H3583" s="6"/>
    </row>
    <row r="3584" spans="1:8">
      <c r="A3584" s="5">
        <v>3401</v>
      </c>
      <c r="B3584" s="6" t="str">
        <f>"赵倩柔"</f>
        <v>赵倩柔</v>
      </c>
      <c r="C3584" s="6" t="str">
        <f t="shared" si="170"/>
        <v>女</v>
      </c>
      <c r="D3584" s="6" t="str">
        <f>"202130033911"</f>
        <v>202130033911</v>
      </c>
      <c r="E3584" s="10" t="s">
        <v>27</v>
      </c>
      <c r="F3584" s="6" t="s">
        <v>12</v>
      </c>
      <c r="G3584" s="8">
        <v>49.05</v>
      </c>
      <c r="H3584" s="6"/>
    </row>
    <row r="3585" spans="1:8">
      <c r="A3585" s="5">
        <v>3300</v>
      </c>
      <c r="B3585" s="6" t="str">
        <f>"王丽姣"</f>
        <v>王丽姣</v>
      </c>
      <c r="C3585" s="6" t="str">
        <f t="shared" si="170"/>
        <v>女</v>
      </c>
      <c r="D3585" s="6" t="str">
        <f>"202130033912"</f>
        <v>202130033912</v>
      </c>
      <c r="E3585" s="10" t="s">
        <v>27</v>
      </c>
      <c r="F3585" s="6" t="s">
        <v>12</v>
      </c>
      <c r="G3585" s="8">
        <v>0</v>
      </c>
      <c r="H3585" s="9">
        <v>1</v>
      </c>
    </row>
    <row r="3586" spans="1:8">
      <c r="A3586" s="5">
        <v>3426</v>
      </c>
      <c r="B3586" s="6" t="str">
        <f>"汪梦楠"</f>
        <v>汪梦楠</v>
      </c>
      <c r="C3586" s="6" t="str">
        <f t="shared" si="170"/>
        <v>女</v>
      </c>
      <c r="D3586" s="6" t="str">
        <f>"202130033913"</f>
        <v>202130033913</v>
      </c>
      <c r="E3586" s="10" t="s">
        <v>27</v>
      </c>
      <c r="F3586" s="6" t="s">
        <v>12</v>
      </c>
      <c r="G3586" s="8">
        <v>42.55</v>
      </c>
      <c r="H3586" s="6"/>
    </row>
    <row r="3587" spans="1:8">
      <c r="A3587" s="5">
        <v>3311</v>
      </c>
      <c r="B3587" s="6" t="str">
        <f>"申佩"</f>
        <v>申佩</v>
      </c>
      <c r="C3587" s="6" t="str">
        <f t="shared" si="170"/>
        <v>女</v>
      </c>
      <c r="D3587" s="6" t="str">
        <f>"202130033914"</f>
        <v>202130033914</v>
      </c>
      <c r="E3587" s="10" t="s">
        <v>27</v>
      </c>
      <c r="F3587" s="6" t="s">
        <v>12</v>
      </c>
      <c r="G3587" s="8">
        <v>71.45</v>
      </c>
      <c r="H3587" s="6"/>
    </row>
    <row r="3588" spans="1:8">
      <c r="A3588" s="5">
        <v>3349</v>
      </c>
      <c r="B3588" s="6" t="str">
        <f>"唐咏琴"</f>
        <v>唐咏琴</v>
      </c>
      <c r="C3588" s="6" t="str">
        <f t="shared" si="170"/>
        <v>女</v>
      </c>
      <c r="D3588" s="6" t="str">
        <f>"202130033915"</f>
        <v>202130033915</v>
      </c>
      <c r="E3588" s="10" t="s">
        <v>27</v>
      </c>
      <c r="F3588" s="6" t="s">
        <v>12</v>
      </c>
      <c r="G3588" s="8">
        <v>77.55</v>
      </c>
      <c r="H3588" s="6"/>
    </row>
    <row r="3589" spans="1:8">
      <c r="A3589" s="5">
        <v>3475</v>
      </c>
      <c r="B3589" s="6" t="str">
        <f>"罗梅"</f>
        <v>罗梅</v>
      </c>
      <c r="C3589" s="6" t="str">
        <f t="shared" si="170"/>
        <v>女</v>
      </c>
      <c r="D3589" s="6" t="str">
        <f>"202130033916"</f>
        <v>202130033916</v>
      </c>
      <c r="E3589" s="10" t="s">
        <v>27</v>
      </c>
      <c r="F3589" s="6" t="s">
        <v>12</v>
      </c>
      <c r="G3589" s="8">
        <v>81.099999999999994</v>
      </c>
      <c r="H3589" s="6"/>
    </row>
    <row r="3590" spans="1:8">
      <c r="A3590" s="5">
        <v>3506</v>
      </c>
      <c r="B3590" s="6" t="str">
        <f>"陈曦"</f>
        <v>陈曦</v>
      </c>
      <c r="C3590" s="6" t="str">
        <f t="shared" si="170"/>
        <v>女</v>
      </c>
      <c r="D3590" s="6" t="str">
        <f>"202130033917"</f>
        <v>202130033917</v>
      </c>
      <c r="E3590" s="10" t="s">
        <v>27</v>
      </c>
      <c r="F3590" s="6" t="s">
        <v>12</v>
      </c>
      <c r="G3590" s="8">
        <v>84.4</v>
      </c>
      <c r="H3590" s="6"/>
    </row>
    <row r="3591" spans="1:8">
      <c r="A3591" s="5">
        <v>3467</v>
      </c>
      <c r="B3591" s="6" t="str">
        <f>"匡慧"</f>
        <v>匡慧</v>
      </c>
      <c r="C3591" s="6" t="str">
        <f t="shared" si="170"/>
        <v>女</v>
      </c>
      <c r="D3591" s="6" t="str">
        <f>"202130033918"</f>
        <v>202130033918</v>
      </c>
      <c r="E3591" s="10" t="s">
        <v>27</v>
      </c>
      <c r="F3591" s="6" t="s">
        <v>12</v>
      </c>
      <c r="G3591" s="8">
        <v>65.099999999999994</v>
      </c>
      <c r="H3591" s="6"/>
    </row>
    <row r="3592" spans="1:8">
      <c r="A3592" s="5">
        <v>3517</v>
      </c>
      <c r="B3592" s="6" t="str">
        <f>"张海丽"</f>
        <v>张海丽</v>
      </c>
      <c r="C3592" s="6" t="str">
        <f t="shared" si="170"/>
        <v>女</v>
      </c>
      <c r="D3592" s="6" t="str">
        <f>"202130033919"</f>
        <v>202130033919</v>
      </c>
      <c r="E3592" s="10" t="s">
        <v>27</v>
      </c>
      <c r="F3592" s="6" t="s">
        <v>12</v>
      </c>
      <c r="G3592" s="8">
        <v>67.55</v>
      </c>
      <c r="H3592" s="6"/>
    </row>
    <row r="3593" spans="1:8">
      <c r="A3593" s="5">
        <v>3450</v>
      </c>
      <c r="B3593" s="6" t="str">
        <f>"彭琼"</f>
        <v>彭琼</v>
      </c>
      <c r="C3593" s="6" t="str">
        <f t="shared" si="170"/>
        <v>女</v>
      </c>
      <c r="D3593" s="6" t="str">
        <f>"202130033920"</f>
        <v>202130033920</v>
      </c>
      <c r="E3593" s="10" t="s">
        <v>27</v>
      </c>
      <c r="F3593" s="6" t="s">
        <v>12</v>
      </c>
      <c r="G3593" s="8">
        <v>76.2</v>
      </c>
      <c r="H3593" s="6"/>
    </row>
    <row r="3594" spans="1:8">
      <c r="A3594" s="5">
        <v>3472</v>
      </c>
      <c r="B3594" s="6" t="str">
        <f>"向芳"</f>
        <v>向芳</v>
      </c>
      <c r="C3594" s="6" t="str">
        <f t="shared" si="170"/>
        <v>女</v>
      </c>
      <c r="D3594" s="6" t="str">
        <f>"202130033921"</f>
        <v>202130033921</v>
      </c>
      <c r="E3594" s="10" t="s">
        <v>27</v>
      </c>
      <c r="F3594" s="6" t="s">
        <v>12</v>
      </c>
      <c r="G3594" s="8">
        <v>56.65</v>
      </c>
      <c r="H3594" s="6"/>
    </row>
    <row r="3595" spans="1:8">
      <c r="A3595" s="5">
        <v>3487</v>
      </c>
      <c r="B3595" s="6" t="str">
        <f>"刘洋"</f>
        <v>刘洋</v>
      </c>
      <c r="C3595" s="6" t="str">
        <f t="shared" si="170"/>
        <v>女</v>
      </c>
      <c r="D3595" s="6" t="str">
        <f>"202130033922"</f>
        <v>202130033922</v>
      </c>
      <c r="E3595" s="10" t="s">
        <v>27</v>
      </c>
      <c r="F3595" s="6" t="s">
        <v>12</v>
      </c>
      <c r="G3595" s="8">
        <v>0</v>
      </c>
      <c r="H3595" s="9">
        <v>1</v>
      </c>
    </row>
    <row r="3596" spans="1:8">
      <c r="A3596" s="5">
        <v>3397</v>
      </c>
      <c r="B3596" s="6" t="str">
        <f>"李璐"</f>
        <v>李璐</v>
      </c>
      <c r="C3596" s="6" t="str">
        <f t="shared" si="170"/>
        <v>女</v>
      </c>
      <c r="D3596" s="6" t="str">
        <f>"202130033923"</f>
        <v>202130033923</v>
      </c>
      <c r="E3596" s="10" t="s">
        <v>27</v>
      </c>
      <c r="F3596" s="6" t="s">
        <v>12</v>
      </c>
      <c r="G3596" s="8">
        <v>56.6</v>
      </c>
      <c r="H3596" s="6"/>
    </row>
    <row r="3597" spans="1:8">
      <c r="A3597" s="5">
        <v>3365</v>
      </c>
      <c r="B3597" s="6" t="str">
        <f>"李秀丽"</f>
        <v>李秀丽</v>
      </c>
      <c r="C3597" s="6" t="str">
        <f t="shared" si="170"/>
        <v>女</v>
      </c>
      <c r="D3597" s="6" t="str">
        <f>"202130033924"</f>
        <v>202130033924</v>
      </c>
      <c r="E3597" s="10" t="s">
        <v>27</v>
      </c>
      <c r="F3597" s="6" t="s">
        <v>12</v>
      </c>
      <c r="G3597" s="8">
        <v>71.650000000000006</v>
      </c>
      <c r="H3597" s="6"/>
    </row>
    <row r="3598" spans="1:8">
      <c r="A3598" s="5">
        <v>3313</v>
      </c>
      <c r="B3598" s="6" t="str">
        <f>"卓婷"</f>
        <v>卓婷</v>
      </c>
      <c r="C3598" s="6" t="str">
        <f t="shared" si="170"/>
        <v>女</v>
      </c>
      <c r="D3598" s="6" t="str">
        <f>"202130033925"</f>
        <v>202130033925</v>
      </c>
      <c r="E3598" s="10" t="s">
        <v>27</v>
      </c>
      <c r="F3598" s="6" t="s">
        <v>12</v>
      </c>
      <c r="G3598" s="8">
        <v>76.900000000000006</v>
      </c>
      <c r="H3598" s="6"/>
    </row>
    <row r="3599" spans="1:8">
      <c r="A3599" s="5">
        <v>3455</v>
      </c>
      <c r="B3599" s="6" t="str">
        <f>"曾国桂"</f>
        <v>曾国桂</v>
      </c>
      <c r="C3599" s="6" t="str">
        <f t="shared" si="170"/>
        <v>女</v>
      </c>
      <c r="D3599" s="6" t="str">
        <f>"202130033926"</f>
        <v>202130033926</v>
      </c>
      <c r="E3599" s="10" t="s">
        <v>27</v>
      </c>
      <c r="F3599" s="6" t="s">
        <v>12</v>
      </c>
      <c r="G3599" s="8">
        <v>78.099999999999994</v>
      </c>
      <c r="H3599" s="6"/>
    </row>
    <row r="3600" spans="1:8">
      <c r="A3600" s="5">
        <v>3522</v>
      </c>
      <c r="B3600" s="6" t="str">
        <f>"何松链"</f>
        <v>何松链</v>
      </c>
      <c r="C3600" s="6" t="str">
        <f>"男"</f>
        <v>男</v>
      </c>
      <c r="D3600" s="6" t="str">
        <f>"202130033927"</f>
        <v>202130033927</v>
      </c>
      <c r="E3600" s="10" t="s">
        <v>27</v>
      </c>
      <c r="F3600" s="6" t="s">
        <v>12</v>
      </c>
      <c r="G3600" s="8">
        <v>72.099999999999994</v>
      </c>
      <c r="H3600" s="6"/>
    </row>
    <row r="3601" spans="1:8">
      <c r="A3601" s="5">
        <v>3337</v>
      </c>
      <c r="B3601" s="6" t="str">
        <f>"邓雪妮"</f>
        <v>邓雪妮</v>
      </c>
      <c r="C3601" s="6" t="str">
        <f>"女"</f>
        <v>女</v>
      </c>
      <c r="D3601" s="6" t="str">
        <f>"202130033928"</f>
        <v>202130033928</v>
      </c>
      <c r="E3601" s="10" t="s">
        <v>27</v>
      </c>
      <c r="F3601" s="6" t="s">
        <v>12</v>
      </c>
      <c r="G3601" s="8">
        <v>57.3</v>
      </c>
      <c r="H3601" s="6"/>
    </row>
    <row r="3602" spans="1:8">
      <c r="A3602" s="5">
        <v>3442</v>
      </c>
      <c r="B3602" s="6" t="str">
        <f>"周红艳"</f>
        <v>周红艳</v>
      </c>
      <c r="C3602" s="6" t="str">
        <f>"女"</f>
        <v>女</v>
      </c>
      <c r="D3602" s="6" t="str">
        <f>"202130033929"</f>
        <v>202130033929</v>
      </c>
      <c r="E3602" s="10" t="s">
        <v>27</v>
      </c>
      <c r="F3602" s="6" t="s">
        <v>12</v>
      </c>
      <c r="G3602" s="8">
        <v>76.8</v>
      </c>
      <c r="H3602" s="6"/>
    </row>
    <row r="3603" spans="1:8">
      <c r="A3603" s="5">
        <v>3327</v>
      </c>
      <c r="B3603" s="6" t="str">
        <f>"沈丽芳"</f>
        <v>沈丽芳</v>
      </c>
      <c r="C3603" s="6" t="str">
        <f>"女"</f>
        <v>女</v>
      </c>
      <c r="D3603" s="6" t="str">
        <f>"202130033930"</f>
        <v>202130033930</v>
      </c>
      <c r="E3603" s="10" t="s">
        <v>27</v>
      </c>
      <c r="F3603" s="6" t="s">
        <v>12</v>
      </c>
      <c r="G3603" s="8">
        <v>66.95</v>
      </c>
      <c r="H3603" s="6"/>
    </row>
    <row r="3604" spans="1:8">
      <c r="A3604" s="5">
        <v>3473</v>
      </c>
      <c r="B3604" s="6" t="str">
        <f>"赵雨沛"</f>
        <v>赵雨沛</v>
      </c>
      <c r="C3604" s="6" t="str">
        <f>"女"</f>
        <v>女</v>
      </c>
      <c r="D3604" s="6" t="str">
        <f>"202130034001"</f>
        <v>202130034001</v>
      </c>
      <c r="E3604" s="10" t="s">
        <v>27</v>
      </c>
      <c r="F3604" s="6" t="s">
        <v>12</v>
      </c>
      <c r="G3604" s="8">
        <v>86.85</v>
      </c>
      <c r="H3604" s="6"/>
    </row>
    <row r="3605" spans="1:8">
      <c r="A3605" s="5">
        <v>3412</v>
      </c>
      <c r="B3605" s="6" t="str">
        <f>"曾婷"</f>
        <v>曾婷</v>
      </c>
      <c r="C3605" s="6" t="str">
        <f>"女"</f>
        <v>女</v>
      </c>
      <c r="D3605" s="6" t="str">
        <f>"202130034002"</f>
        <v>202130034002</v>
      </c>
      <c r="E3605" s="10" t="s">
        <v>27</v>
      </c>
      <c r="F3605" s="6" t="s">
        <v>12</v>
      </c>
      <c r="G3605" s="8">
        <v>88.8</v>
      </c>
      <c r="H3605" s="6"/>
    </row>
    <row r="3606" spans="1:8">
      <c r="A3606" s="5">
        <v>3416</v>
      </c>
      <c r="B3606" s="6" t="str">
        <f>"梁佳伟"</f>
        <v>梁佳伟</v>
      </c>
      <c r="C3606" s="6" t="str">
        <f>"男"</f>
        <v>男</v>
      </c>
      <c r="D3606" s="6" t="str">
        <f>"202130034003"</f>
        <v>202130034003</v>
      </c>
      <c r="E3606" s="10" t="s">
        <v>27</v>
      </c>
      <c r="F3606" s="6" t="s">
        <v>12</v>
      </c>
      <c r="G3606" s="8">
        <v>65.45</v>
      </c>
      <c r="H3606" s="6"/>
    </row>
    <row r="3607" spans="1:8">
      <c r="A3607" s="5">
        <v>3515</v>
      </c>
      <c r="B3607" s="6" t="str">
        <f>"李莉"</f>
        <v>李莉</v>
      </c>
      <c r="C3607" s="6" t="str">
        <f>"女"</f>
        <v>女</v>
      </c>
      <c r="D3607" s="6" t="str">
        <f>"202130034004"</f>
        <v>202130034004</v>
      </c>
      <c r="E3607" s="10" t="s">
        <v>27</v>
      </c>
      <c r="F3607" s="6" t="s">
        <v>12</v>
      </c>
      <c r="G3607" s="8">
        <v>79.900000000000006</v>
      </c>
      <c r="H3607" s="6"/>
    </row>
    <row r="3608" spans="1:8">
      <c r="A3608" s="5">
        <v>3307</v>
      </c>
      <c r="B3608" s="6" t="str">
        <f>"陆英兰"</f>
        <v>陆英兰</v>
      </c>
      <c r="C3608" s="6" t="str">
        <f>"女"</f>
        <v>女</v>
      </c>
      <c r="D3608" s="6" t="str">
        <f>"202130034005"</f>
        <v>202130034005</v>
      </c>
      <c r="E3608" s="10" t="s">
        <v>27</v>
      </c>
      <c r="F3608" s="6" t="s">
        <v>12</v>
      </c>
      <c r="G3608" s="8">
        <v>0</v>
      </c>
      <c r="H3608" s="9">
        <v>1</v>
      </c>
    </row>
    <row r="3609" spans="1:8">
      <c r="A3609" s="5">
        <v>3409</v>
      </c>
      <c r="B3609" s="6" t="str">
        <f>"陆秀玲"</f>
        <v>陆秀玲</v>
      </c>
      <c r="C3609" s="6" t="str">
        <f>"女"</f>
        <v>女</v>
      </c>
      <c r="D3609" s="6" t="str">
        <f>"202130034006"</f>
        <v>202130034006</v>
      </c>
      <c r="E3609" s="10" t="s">
        <v>27</v>
      </c>
      <c r="F3609" s="6" t="s">
        <v>12</v>
      </c>
      <c r="G3609" s="8">
        <v>78.5</v>
      </c>
      <c r="H3609" s="6"/>
    </row>
    <row r="3610" spans="1:8">
      <c r="A3610" s="5">
        <v>3301</v>
      </c>
      <c r="B3610" s="6" t="str">
        <f>"郑一宁"</f>
        <v>郑一宁</v>
      </c>
      <c r="C3610" s="6" t="str">
        <f>"男"</f>
        <v>男</v>
      </c>
      <c r="D3610" s="6" t="str">
        <f>"202130034007"</f>
        <v>202130034007</v>
      </c>
      <c r="E3610" s="10" t="s">
        <v>27</v>
      </c>
      <c r="F3610" s="6" t="s">
        <v>12</v>
      </c>
      <c r="G3610" s="8">
        <v>0</v>
      </c>
      <c r="H3610" s="9">
        <v>1</v>
      </c>
    </row>
    <row r="3611" spans="1:8">
      <c r="A3611" s="5">
        <v>3375</v>
      </c>
      <c r="B3611" s="6" t="str">
        <f>"孟缘"</f>
        <v>孟缘</v>
      </c>
      <c r="C3611" s="6" t="str">
        <f t="shared" ref="C3611:C3618" si="171">"女"</f>
        <v>女</v>
      </c>
      <c r="D3611" s="6" t="str">
        <f>"202130034008"</f>
        <v>202130034008</v>
      </c>
      <c r="E3611" s="10" t="s">
        <v>27</v>
      </c>
      <c r="F3611" s="6" t="s">
        <v>12</v>
      </c>
      <c r="G3611" s="8">
        <v>80.75</v>
      </c>
      <c r="H3611" s="6"/>
    </row>
    <row r="3612" spans="1:8">
      <c r="A3612" s="5">
        <v>3484</v>
      </c>
      <c r="B3612" s="6" t="str">
        <f>"叶欢"</f>
        <v>叶欢</v>
      </c>
      <c r="C3612" s="6" t="str">
        <f t="shared" si="171"/>
        <v>女</v>
      </c>
      <c r="D3612" s="6" t="str">
        <f>"202130034009"</f>
        <v>202130034009</v>
      </c>
      <c r="E3612" s="10" t="s">
        <v>27</v>
      </c>
      <c r="F3612" s="6" t="s">
        <v>12</v>
      </c>
      <c r="G3612" s="8">
        <v>85.35</v>
      </c>
      <c r="H3612" s="6"/>
    </row>
    <row r="3613" spans="1:8">
      <c r="A3613" s="5">
        <v>3502</v>
      </c>
      <c r="B3613" s="6" t="str">
        <f>"李丰婧"</f>
        <v>李丰婧</v>
      </c>
      <c r="C3613" s="6" t="str">
        <f t="shared" si="171"/>
        <v>女</v>
      </c>
      <c r="D3613" s="6" t="str">
        <f>"202130034010"</f>
        <v>202130034010</v>
      </c>
      <c r="E3613" s="10" t="s">
        <v>27</v>
      </c>
      <c r="F3613" s="6" t="s">
        <v>12</v>
      </c>
      <c r="G3613" s="8">
        <v>60.2</v>
      </c>
      <c r="H3613" s="6"/>
    </row>
    <row r="3614" spans="1:8">
      <c r="A3614" s="5">
        <v>3361</v>
      </c>
      <c r="B3614" s="6" t="str">
        <f>"邓世琦"</f>
        <v>邓世琦</v>
      </c>
      <c r="C3614" s="6" t="str">
        <f t="shared" si="171"/>
        <v>女</v>
      </c>
      <c r="D3614" s="6" t="str">
        <f>"202130034011"</f>
        <v>202130034011</v>
      </c>
      <c r="E3614" s="10" t="s">
        <v>27</v>
      </c>
      <c r="F3614" s="6" t="s">
        <v>12</v>
      </c>
      <c r="G3614" s="8">
        <v>82.4</v>
      </c>
      <c r="H3614" s="6"/>
    </row>
    <row r="3615" spans="1:8">
      <c r="A3615" s="5">
        <v>3414</v>
      </c>
      <c r="B3615" s="6" t="str">
        <f>"隆雅琴"</f>
        <v>隆雅琴</v>
      </c>
      <c r="C3615" s="6" t="str">
        <f t="shared" si="171"/>
        <v>女</v>
      </c>
      <c r="D3615" s="6" t="str">
        <f>"202130034012"</f>
        <v>202130034012</v>
      </c>
      <c r="E3615" s="10" t="s">
        <v>27</v>
      </c>
      <c r="F3615" s="6" t="s">
        <v>12</v>
      </c>
      <c r="G3615" s="8">
        <v>81.150000000000006</v>
      </c>
      <c r="H3615" s="6"/>
    </row>
    <row r="3616" spans="1:8">
      <c r="A3616" s="5">
        <v>3407</v>
      </c>
      <c r="B3616" s="6" t="str">
        <f>"彭丽芳"</f>
        <v>彭丽芳</v>
      </c>
      <c r="C3616" s="6" t="str">
        <f t="shared" si="171"/>
        <v>女</v>
      </c>
      <c r="D3616" s="6" t="str">
        <f>"202130034013"</f>
        <v>202130034013</v>
      </c>
      <c r="E3616" s="10" t="s">
        <v>27</v>
      </c>
      <c r="F3616" s="6" t="s">
        <v>12</v>
      </c>
      <c r="G3616" s="8">
        <v>82.2</v>
      </c>
      <c r="H3616" s="6"/>
    </row>
    <row r="3617" spans="1:8">
      <c r="A3617" s="5">
        <v>3523</v>
      </c>
      <c r="B3617" s="6" t="str">
        <f>"廖益香"</f>
        <v>廖益香</v>
      </c>
      <c r="C3617" s="6" t="str">
        <f t="shared" si="171"/>
        <v>女</v>
      </c>
      <c r="D3617" s="6" t="str">
        <f>"202130034014"</f>
        <v>202130034014</v>
      </c>
      <c r="E3617" s="10" t="s">
        <v>27</v>
      </c>
      <c r="F3617" s="6" t="s">
        <v>12</v>
      </c>
      <c r="G3617" s="8">
        <v>39.9</v>
      </c>
      <c r="H3617" s="6"/>
    </row>
    <row r="3618" spans="1:8">
      <c r="A3618" s="5">
        <v>3320</v>
      </c>
      <c r="B3618" s="6" t="str">
        <f>"匡培育"</f>
        <v>匡培育</v>
      </c>
      <c r="C3618" s="6" t="str">
        <f t="shared" si="171"/>
        <v>女</v>
      </c>
      <c r="D3618" s="6" t="str">
        <f>"202130034015"</f>
        <v>202130034015</v>
      </c>
      <c r="E3618" s="10" t="s">
        <v>27</v>
      </c>
      <c r="F3618" s="6" t="s">
        <v>12</v>
      </c>
      <c r="G3618" s="8">
        <v>79.55</v>
      </c>
      <c r="H3618" s="6"/>
    </row>
    <row r="3619" spans="1:8">
      <c r="A3619" s="5">
        <v>3359</v>
      </c>
      <c r="B3619" s="6" t="str">
        <f>"陈梓玉"</f>
        <v>陈梓玉</v>
      </c>
      <c r="C3619" s="6" t="str">
        <f>"男"</f>
        <v>男</v>
      </c>
      <c r="D3619" s="6" t="str">
        <f>"202130034016"</f>
        <v>202130034016</v>
      </c>
      <c r="E3619" s="10" t="s">
        <v>27</v>
      </c>
      <c r="F3619" s="6" t="s">
        <v>12</v>
      </c>
      <c r="G3619" s="8">
        <v>56.6</v>
      </c>
      <c r="H3619" s="6"/>
    </row>
    <row r="3620" spans="1:8">
      <c r="A3620" s="5">
        <v>3456</v>
      </c>
      <c r="B3620" s="6" t="str">
        <f>"王紫烟"</f>
        <v>王紫烟</v>
      </c>
      <c r="C3620" s="6" t="str">
        <f t="shared" ref="C3620:C3646" si="172">"女"</f>
        <v>女</v>
      </c>
      <c r="D3620" s="6" t="str">
        <f>"202130034017"</f>
        <v>202130034017</v>
      </c>
      <c r="E3620" s="10" t="s">
        <v>27</v>
      </c>
      <c r="F3620" s="6" t="s">
        <v>12</v>
      </c>
      <c r="G3620" s="8">
        <v>64.25</v>
      </c>
      <c r="H3620" s="6"/>
    </row>
    <row r="3621" spans="1:8">
      <c r="A3621" s="5">
        <v>3385</v>
      </c>
      <c r="B3621" s="6" t="str">
        <f>"刘佳玉"</f>
        <v>刘佳玉</v>
      </c>
      <c r="C3621" s="6" t="str">
        <f t="shared" si="172"/>
        <v>女</v>
      </c>
      <c r="D3621" s="6" t="str">
        <f>"202130034018"</f>
        <v>202130034018</v>
      </c>
      <c r="E3621" s="10" t="s">
        <v>27</v>
      </c>
      <c r="F3621" s="6" t="s">
        <v>12</v>
      </c>
      <c r="G3621" s="8">
        <v>70.05</v>
      </c>
      <c r="H3621" s="6"/>
    </row>
    <row r="3622" spans="1:8">
      <c r="A3622" s="5">
        <v>3453</v>
      </c>
      <c r="B3622" s="6" t="str">
        <f>"申辉旺"</f>
        <v>申辉旺</v>
      </c>
      <c r="C3622" s="6" t="str">
        <f t="shared" si="172"/>
        <v>女</v>
      </c>
      <c r="D3622" s="6" t="str">
        <f>"202130034019"</f>
        <v>202130034019</v>
      </c>
      <c r="E3622" s="10" t="s">
        <v>27</v>
      </c>
      <c r="F3622" s="6" t="s">
        <v>12</v>
      </c>
      <c r="G3622" s="8">
        <v>72.7</v>
      </c>
      <c r="H3622" s="6"/>
    </row>
    <row r="3623" spans="1:8">
      <c r="A3623" s="5">
        <v>3427</v>
      </c>
      <c r="B3623" s="6" t="str">
        <f>"匡文芳"</f>
        <v>匡文芳</v>
      </c>
      <c r="C3623" s="6" t="str">
        <f t="shared" si="172"/>
        <v>女</v>
      </c>
      <c r="D3623" s="6" t="str">
        <f>"202130034020"</f>
        <v>202130034020</v>
      </c>
      <c r="E3623" s="10" t="s">
        <v>27</v>
      </c>
      <c r="F3623" s="6" t="s">
        <v>12</v>
      </c>
      <c r="G3623" s="8">
        <v>62.35</v>
      </c>
      <c r="H3623" s="6"/>
    </row>
    <row r="3624" spans="1:8">
      <c r="A3624" s="5">
        <v>3468</v>
      </c>
      <c r="B3624" s="6" t="str">
        <f>"刘洁"</f>
        <v>刘洁</v>
      </c>
      <c r="C3624" s="6" t="str">
        <f t="shared" si="172"/>
        <v>女</v>
      </c>
      <c r="D3624" s="6" t="str">
        <f>"202130034021"</f>
        <v>202130034021</v>
      </c>
      <c r="E3624" s="10" t="s">
        <v>27</v>
      </c>
      <c r="F3624" s="6" t="s">
        <v>12</v>
      </c>
      <c r="G3624" s="8">
        <v>68.25</v>
      </c>
      <c r="H3624" s="6"/>
    </row>
    <row r="3625" spans="1:8">
      <c r="A3625" s="5">
        <v>3306</v>
      </c>
      <c r="B3625" s="6" t="str">
        <f>"肖乐"</f>
        <v>肖乐</v>
      </c>
      <c r="C3625" s="6" t="str">
        <f t="shared" si="172"/>
        <v>女</v>
      </c>
      <c r="D3625" s="6" t="str">
        <f>"202130034022"</f>
        <v>202130034022</v>
      </c>
      <c r="E3625" s="10" t="s">
        <v>27</v>
      </c>
      <c r="F3625" s="6" t="s">
        <v>12</v>
      </c>
      <c r="G3625" s="8">
        <v>0</v>
      </c>
      <c r="H3625" s="9">
        <v>1</v>
      </c>
    </row>
    <row r="3626" spans="1:8">
      <c r="A3626" s="5">
        <v>3459</v>
      </c>
      <c r="B3626" s="6" t="str">
        <f>"陆跃君"</f>
        <v>陆跃君</v>
      </c>
      <c r="C3626" s="6" t="str">
        <f t="shared" si="172"/>
        <v>女</v>
      </c>
      <c r="D3626" s="6" t="str">
        <f>"202130034023"</f>
        <v>202130034023</v>
      </c>
      <c r="E3626" s="10" t="s">
        <v>27</v>
      </c>
      <c r="F3626" s="6" t="s">
        <v>12</v>
      </c>
      <c r="G3626" s="8">
        <v>80.3</v>
      </c>
      <c r="H3626" s="6"/>
    </row>
    <row r="3627" spans="1:8">
      <c r="A3627" s="5">
        <v>3495</v>
      </c>
      <c r="B3627" s="6" t="str">
        <f>"伍柯颖"</f>
        <v>伍柯颖</v>
      </c>
      <c r="C3627" s="6" t="str">
        <f t="shared" si="172"/>
        <v>女</v>
      </c>
      <c r="D3627" s="6" t="str">
        <f>"202130034024"</f>
        <v>202130034024</v>
      </c>
      <c r="E3627" s="10" t="s">
        <v>27</v>
      </c>
      <c r="F3627" s="6" t="s">
        <v>12</v>
      </c>
      <c r="G3627" s="8">
        <v>88.35</v>
      </c>
      <c r="H3627" s="6"/>
    </row>
    <row r="3628" spans="1:8">
      <c r="A3628" s="5">
        <v>3396</v>
      </c>
      <c r="B3628" s="6" t="str">
        <f>"吕磊"</f>
        <v>吕磊</v>
      </c>
      <c r="C3628" s="6" t="str">
        <f t="shared" si="172"/>
        <v>女</v>
      </c>
      <c r="D3628" s="6" t="str">
        <f>"202130034025"</f>
        <v>202130034025</v>
      </c>
      <c r="E3628" s="10" t="s">
        <v>27</v>
      </c>
      <c r="F3628" s="6" t="s">
        <v>12</v>
      </c>
      <c r="G3628" s="8">
        <v>0</v>
      </c>
      <c r="H3628" s="9">
        <v>1</v>
      </c>
    </row>
    <row r="3629" spans="1:8">
      <c r="A3629" s="5">
        <v>3481</v>
      </c>
      <c r="B3629" s="6" t="str">
        <f>"黎佳乐"</f>
        <v>黎佳乐</v>
      </c>
      <c r="C3629" s="6" t="str">
        <f t="shared" si="172"/>
        <v>女</v>
      </c>
      <c r="D3629" s="6" t="str">
        <f>"202130034026"</f>
        <v>202130034026</v>
      </c>
      <c r="E3629" s="10" t="s">
        <v>27</v>
      </c>
      <c r="F3629" s="6" t="s">
        <v>12</v>
      </c>
      <c r="G3629" s="8">
        <v>81.900000000000006</v>
      </c>
      <c r="H3629" s="6"/>
    </row>
    <row r="3630" spans="1:8">
      <c r="A3630" s="5">
        <v>3443</v>
      </c>
      <c r="B3630" s="6" t="str">
        <f>"周娇"</f>
        <v>周娇</v>
      </c>
      <c r="C3630" s="6" t="str">
        <f t="shared" si="172"/>
        <v>女</v>
      </c>
      <c r="D3630" s="6" t="str">
        <f>"202130034027"</f>
        <v>202130034027</v>
      </c>
      <c r="E3630" s="10" t="s">
        <v>27</v>
      </c>
      <c r="F3630" s="6" t="s">
        <v>12</v>
      </c>
      <c r="G3630" s="8">
        <v>64.650000000000006</v>
      </c>
      <c r="H3630" s="6"/>
    </row>
    <row r="3631" spans="1:8">
      <c r="A3631" s="5">
        <v>3368</v>
      </c>
      <c r="B3631" s="6" t="str">
        <f>"陈嘉怡"</f>
        <v>陈嘉怡</v>
      </c>
      <c r="C3631" s="6" t="str">
        <f t="shared" si="172"/>
        <v>女</v>
      </c>
      <c r="D3631" s="6" t="str">
        <f>"202130034028"</f>
        <v>202130034028</v>
      </c>
      <c r="E3631" s="10" t="s">
        <v>27</v>
      </c>
      <c r="F3631" s="6" t="s">
        <v>12</v>
      </c>
      <c r="G3631" s="8">
        <v>82.85</v>
      </c>
      <c r="H3631" s="6"/>
    </row>
    <row r="3632" spans="1:8">
      <c r="A3632" s="5">
        <v>3421</v>
      </c>
      <c r="B3632" s="6" t="str">
        <f>"周洁"</f>
        <v>周洁</v>
      </c>
      <c r="C3632" s="6" t="str">
        <f t="shared" si="172"/>
        <v>女</v>
      </c>
      <c r="D3632" s="6" t="str">
        <f>"202130034029"</f>
        <v>202130034029</v>
      </c>
      <c r="E3632" s="10" t="s">
        <v>27</v>
      </c>
      <c r="F3632" s="6" t="s">
        <v>12</v>
      </c>
      <c r="G3632" s="8">
        <v>71.650000000000006</v>
      </c>
      <c r="H3632" s="6"/>
    </row>
    <row r="3633" spans="1:8">
      <c r="A3633" s="5">
        <v>3497</v>
      </c>
      <c r="B3633" s="6" t="str">
        <f>"杨玉珏"</f>
        <v>杨玉珏</v>
      </c>
      <c r="C3633" s="6" t="str">
        <f t="shared" si="172"/>
        <v>女</v>
      </c>
      <c r="D3633" s="6" t="str">
        <f>"202130034030"</f>
        <v>202130034030</v>
      </c>
      <c r="E3633" s="10" t="s">
        <v>27</v>
      </c>
      <c r="F3633" s="6" t="s">
        <v>12</v>
      </c>
      <c r="G3633" s="8">
        <v>71.05</v>
      </c>
      <c r="H3633" s="6"/>
    </row>
    <row r="3634" spans="1:8">
      <c r="A3634" s="5">
        <v>3486</v>
      </c>
      <c r="B3634" s="6" t="str">
        <f>"何亚莉"</f>
        <v>何亚莉</v>
      </c>
      <c r="C3634" s="6" t="str">
        <f t="shared" si="172"/>
        <v>女</v>
      </c>
      <c r="D3634" s="6" t="str">
        <f>"202130034101"</f>
        <v>202130034101</v>
      </c>
      <c r="E3634" s="10" t="s">
        <v>27</v>
      </c>
      <c r="F3634" s="6" t="s">
        <v>12</v>
      </c>
      <c r="G3634" s="8">
        <v>73.95</v>
      </c>
      <c r="H3634" s="6"/>
    </row>
    <row r="3635" spans="1:8">
      <c r="A3635" s="5">
        <v>3461</v>
      </c>
      <c r="B3635" s="6" t="str">
        <f>"方妍"</f>
        <v>方妍</v>
      </c>
      <c r="C3635" s="6" t="str">
        <f t="shared" si="172"/>
        <v>女</v>
      </c>
      <c r="D3635" s="6" t="str">
        <f>"202130034102"</f>
        <v>202130034102</v>
      </c>
      <c r="E3635" s="10" t="s">
        <v>27</v>
      </c>
      <c r="F3635" s="6" t="s">
        <v>12</v>
      </c>
      <c r="G3635" s="8">
        <v>60.45</v>
      </c>
      <c r="H3635" s="6"/>
    </row>
    <row r="3636" spans="1:8">
      <c r="A3636" s="5">
        <v>3432</v>
      </c>
      <c r="B3636" s="6" t="str">
        <f>"刘欢欢"</f>
        <v>刘欢欢</v>
      </c>
      <c r="C3636" s="6" t="str">
        <f t="shared" si="172"/>
        <v>女</v>
      </c>
      <c r="D3636" s="6" t="str">
        <f>"202130034103"</f>
        <v>202130034103</v>
      </c>
      <c r="E3636" s="10" t="s">
        <v>27</v>
      </c>
      <c r="F3636" s="6" t="s">
        <v>12</v>
      </c>
      <c r="G3636" s="8">
        <v>86.55</v>
      </c>
      <c r="H3636" s="6"/>
    </row>
    <row r="3637" spans="1:8">
      <c r="A3637" s="5">
        <v>3483</v>
      </c>
      <c r="B3637" s="6" t="str">
        <f>"吕嘉琦"</f>
        <v>吕嘉琦</v>
      </c>
      <c r="C3637" s="6" t="str">
        <f t="shared" si="172"/>
        <v>女</v>
      </c>
      <c r="D3637" s="6" t="str">
        <f>"202130034104"</f>
        <v>202130034104</v>
      </c>
      <c r="E3637" s="10" t="s">
        <v>27</v>
      </c>
      <c r="F3637" s="6" t="s">
        <v>12</v>
      </c>
      <c r="G3637" s="8">
        <v>85.15</v>
      </c>
      <c r="H3637" s="6"/>
    </row>
    <row r="3638" spans="1:8">
      <c r="A3638" s="5">
        <v>3476</v>
      </c>
      <c r="B3638" s="6" t="str">
        <f>"刘倩颖"</f>
        <v>刘倩颖</v>
      </c>
      <c r="C3638" s="6" t="str">
        <f t="shared" si="172"/>
        <v>女</v>
      </c>
      <c r="D3638" s="6" t="str">
        <f>"202130034105"</f>
        <v>202130034105</v>
      </c>
      <c r="E3638" s="10" t="s">
        <v>27</v>
      </c>
      <c r="F3638" s="6" t="s">
        <v>12</v>
      </c>
      <c r="G3638" s="8">
        <v>58.65</v>
      </c>
      <c r="H3638" s="6"/>
    </row>
    <row r="3639" spans="1:8">
      <c r="A3639" s="5">
        <v>3347</v>
      </c>
      <c r="B3639" s="6" t="str">
        <f>"易洁"</f>
        <v>易洁</v>
      </c>
      <c r="C3639" s="6" t="str">
        <f t="shared" si="172"/>
        <v>女</v>
      </c>
      <c r="D3639" s="6" t="str">
        <f>"202130034106"</f>
        <v>202130034106</v>
      </c>
      <c r="E3639" s="10" t="s">
        <v>27</v>
      </c>
      <c r="F3639" s="6" t="s">
        <v>12</v>
      </c>
      <c r="G3639" s="8">
        <v>71.2</v>
      </c>
      <c r="H3639" s="6"/>
    </row>
    <row r="3640" spans="1:8">
      <c r="A3640" s="5">
        <v>3434</v>
      </c>
      <c r="B3640" s="6" t="str">
        <f>"赵萍"</f>
        <v>赵萍</v>
      </c>
      <c r="C3640" s="6" t="str">
        <f t="shared" si="172"/>
        <v>女</v>
      </c>
      <c r="D3640" s="6" t="str">
        <f>"202130034107"</f>
        <v>202130034107</v>
      </c>
      <c r="E3640" s="10" t="s">
        <v>27</v>
      </c>
      <c r="F3640" s="6" t="s">
        <v>12</v>
      </c>
      <c r="G3640" s="8">
        <v>57.6</v>
      </c>
      <c r="H3640" s="6"/>
    </row>
    <row r="3641" spans="1:8">
      <c r="A3641" s="5">
        <v>3342</v>
      </c>
      <c r="B3641" s="6" t="str">
        <f>"肖娇燕"</f>
        <v>肖娇燕</v>
      </c>
      <c r="C3641" s="6" t="str">
        <f t="shared" si="172"/>
        <v>女</v>
      </c>
      <c r="D3641" s="6" t="str">
        <f>"202130034108"</f>
        <v>202130034108</v>
      </c>
      <c r="E3641" s="10" t="s">
        <v>27</v>
      </c>
      <c r="F3641" s="6" t="s">
        <v>12</v>
      </c>
      <c r="G3641" s="8">
        <v>85.1</v>
      </c>
      <c r="H3641" s="6"/>
    </row>
    <row r="3642" spans="1:8">
      <c r="A3642" s="5">
        <v>3336</v>
      </c>
      <c r="B3642" s="6" t="str">
        <f>"刘宇虹"</f>
        <v>刘宇虹</v>
      </c>
      <c r="C3642" s="6" t="str">
        <f t="shared" si="172"/>
        <v>女</v>
      </c>
      <c r="D3642" s="6" t="str">
        <f>"202130034109"</f>
        <v>202130034109</v>
      </c>
      <c r="E3642" s="10" t="s">
        <v>27</v>
      </c>
      <c r="F3642" s="6" t="s">
        <v>12</v>
      </c>
      <c r="G3642" s="8">
        <v>76.400000000000006</v>
      </c>
      <c r="H3642" s="6"/>
    </row>
    <row r="3643" spans="1:8">
      <c r="A3643" s="5">
        <v>3343</v>
      </c>
      <c r="B3643" s="6" t="str">
        <f>"黄明玉"</f>
        <v>黄明玉</v>
      </c>
      <c r="C3643" s="6" t="str">
        <f t="shared" si="172"/>
        <v>女</v>
      </c>
      <c r="D3643" s="6" t="str">
        <f>"202130034110"</f>
        <v>202130034110</v>
      </c>
      <c r="E3643" s="10" t="s">
        <v>27</v>
      </c>
      <c r="F3643" s="6" t="s">
        <v>12</v>
      </c>
      <c r="G3643" s="8">
        <v>82.95</v>
      </c>
      <c r="H3643" s="6"/>
    </row>
    <row r="3644" spans="1:8">
      <c r="A3644" s="5">
        <v>3512</v>
      </c>
      <c r="B3644" s="6" t="str">
        <f>"谢玉群"</f>
        <v>谢玉群</v>
      </c>
      <c r="C3644" s="6" t="str">
        <f t="shared" si="172"/>
        <v>女</v>
      </c>
      <c r="D3644" s="6" t="str">
        <f>"202130034111"</f>
        <v>202130034111</v>
      </c>
      <c r="E3644" s="10" t="s">
        <v>27</v>
      </c>
      <c r="F3644" s="6" t="s">
        <v>12</v>
      </c>
      <c r="G3644" s="8">
        <v>78.25</v>
      </c>
      <c r="H3644" s="6"/>
    </row>
    <row r="3645" spans="1:8">
      <c r="A3645" s="5">
        <v>3498</v>
      </c>
      <c r="B3645" s="6" t="str">
        <f>"蒋艳萍"</f>
        <v>蒋艳萍</v>
      </c>
      <c r="C3645" s="6" t="str">
        <f t="shared" si="172"/>
        <v>女</v>
      </c>
      <c r="D3645" s="6" t="str">
        <f>"202130034112"</f>
        <v>202130034112</v>
      </c>
      <c r="E3645" s="10" t="s">
        <v>27</v>
      </c>
      <c r="F3645" s="6" t="s">
        <v>12</v>
      </c>
      <c r="G3645" s="8">
        <v>68.099999999999994</v>
      </c>
      <c r="H3645" s="6"/>
    </row>
    <row r="3646" spans="1:8">
      <c r="A3646" s="5">
        <v>3451</v>
      </c>
      <c r="B3646" s="6" t="str">
        <f>"罗叶"</f>
        <v>罗叶</v>
      </c>
      <c r="C3646" s="6" t="str">
        <f t="shared" si="172"/>
        <v>女</v>
      </c>
      <c r="D3646" s="6" t="str">
        <f>"202130034113"</f>
        <v>202130034113</v>
      </c>
      <c r="E3646" s="10" t="s">
        <v>27</v>
      </c>
      <c r="F3646" s="6" t="s">
        <v>12</v>
      </c>
      <c r="G3646" s="8">
        <v>63.75</v>
      </c>
      <c r="H3646" s="6"/>
    </row>
    <row r="3647" spans="1:8">
      <c r="A3647" s="5">
        <v>3369</v>
      </c>
      <c r="B3647" s="6" t="str">
        <f>"刘锦"</f>
        <v>刘锦</v>
      </c>
      <c r="C3647" s="6" t="str">
        <f>"男"</f>
        <v>男</v>
      </c>
      <c r="D3647" s="6" t="str">
        <f>"202130034114"</f>
        <v>202130034114</v>
      </c>
      <c r="E3647" s="10" t="s">
        <v>27</v>
      </c>
      <c r="F3647" s="6" t="s">
        <v>12</v>
      </c>
      <c r="G3647" s="8">
        <v>90.25</v>
      </c>
      <c r="H3647" s="6"/>
    </row>
    <row r="3648" spans="1:8">
      <c r="A3648" s="5">
        <v>3308</v>
      </c>
      <c r="B3648" s="6" t="str">
        <f>"熊傲"</f>
        <v>熊傲</v>
      </c>
      <c r="C3648" s="6" t="str">
        <f>"女"</f>
        <v>女</v>
      </c>
      <c r="D3648" s="6" t="str">
        <f>"202130034115"</f>
        <v>202130034115</v>
      </c>
      <c r="E3648" s="10" t="s">
        <v>27</v>
      </c>
      <c r="F3648" s="6" t="s">
        <v>12</v>
      </c>
      <c r="G3648" s="8">
        <v>0</v>
      </c>
      <c r="H3648" s="9">
        <v>1</v>
      </c>
    </row>
    <row r="3649" spans="1:8">
      <c r="A3649" s="5">
        <v>3508</v>
      </c>
      <c r="B3649" s="6" t="str">
        <f>"杨徐辉"</f>
        <v>杨徐辉</v>
      </c>
      <c r="C3649" s="6" t="str">
        <f>"男"</f>
        <v>男</v>
      </c>
      <c r="D3649" s="6" t="str">
        <f>"202130034116"</f>
        <v>202130034116</v>
      </c>
      <c r="E3649" s="10" t="s">
        <v>27</v>
      </c>
      <c r="F3649" s="6" t="s">
        <v>12</v>
      </c>
      <c r="G3649" s="8">
        <v>57.3</v>
      </c>
      <c r="H3649" s="6"/>
    </row>
    <row r="3650" spans="1:8">
      <c r="A3650" s="5">
        <v>3366</v>
      </c>
      <c r="B3650" s="6" t="str">
        <f>"岳敏秋"</f>
        <v>岳敏秋</v>
      </c>
      <c r="C3650" s="6" t="str">
        <f t="shared" ref="C3650:C3656" si="173">"女"</f>
        <v>女</v>
      </c>
      <c r="D3650" s="6" t="str">
        <f>"202130034117"</f>
        <v>202130034117</v>
      </c>
      <c r="E3650" s="10" t="s">
        <v>27</v>
      </c>
      <c r="F3650" s="6" t="s">
        <v>12</v>
      </c>
      <c r="G3650" s="8">
        <v>69.650000000000006</v>
      </c>
      <c r="H3650" s="6"/>
    </row>
    <row r="3651" spans="1:8">
      <c r="A3651" s="5">
        <v>3339</v>
      </c>
      <c r="B3651" s="6" t="str">
        <f>"解江玲"</f>
        <v>解江玲</v>
      </c>
      <c r="C3651" s="6" t="str">
        <f t="shared" si="173"/>
        <v>女</v>
      </c>
      <c r="D3651" s="6" t="str">
        <f>"202130034118"</f>
        <v>202130034118</v>
      </c>
      <c r="E3651" s="10" t="s">
        <v>27</v>
      </c>
      <c r="F3651" s="6" t="s">
        <v>12</v>
      </c>
      <c r="G3651" s="8">
        <v>59.2</v>
      </c>
      <c r="H3651" s="6"/>
    </row>
    <row r="3652" spans="1:8">
      <c r="A3652" s="5">
        <v>3449</v>
      </c>
      <c r="B3652" s="6" t="str">
        <f>"肖艳芳"</f>
        <v>肖艳芳</v>
      </c>
      <c r="C3652" s="6" t="str">
        <f t="shared" si="173"/>
        <v>女</v>
      </c>
      <c r="D3652" s="6" t="str">
        <f>"202130034119"</f>
        <v>202130034119</v>
      </c>
      <c r="E3652" s="10" t="s">
        <v>27</v>
      </c>
      <c r="F3652" s="6" t="s">
        <v>12</v>
      </c>
      <c r="G3652" s="8">
        <v>79</v>
      </c>
      <c r="H3652" s="6"/>
    </row>
    <row r="3653" spans="1:8">
      <c r="A3653" s="5">
        <v>3353</v>
      </c>
      <c r="B3653" s="6" t="str">
        <f>"刘佳倩"</f>
        <v>刘佳倩</v>
      </c>
      <c r="C3653" s="6" t="str">
        <f t="shared" si="173"/>
        <v>女</v>
      </c>
      <c r="D3653" s="6" t="str">
        <f>"202130034120"</f>
        <v>202130034120</v>
      </c>
      <c r="E3653" s="10" t="s">
        <v>27</v>
      </c>
      <c r="F3653" s="6" t="s">
        <v>12</v>
      </c>
      <c r="G3653" s="8">
        <v>0</v>
      </c>
      <c r="H3653" s="9">
        <v>1</v>
      </c>
    </row>
    <row r="3654" spans="1:8">
      <c r="A3654" s="5">
        <v>3413</v>
      </c>
      <c r="B3654" s="6" t="str">
        <f>"周鑫"</f>
        <v>周鑫</v>
      </c>
      <c r="C3654" s="6" t="str">
        <f t="shared" si="173"/>
        <v>女</v>
      </c>
      <c r="D3654" s="6" t="str">
        <f>"202130034121"</f>
        <v>202130034121</v>
      </c>
      <c r="E3654" s="10" t="s">
        <v>27</v>
      </c>
      <c r="F3654" s="6" t="s">
        <v>12</v>
      </c>
      <c r="G3654" s="8">
        <v>48.6</v>
      </c>
      <c r="H3654" s="6"/>
    </row>
    <row r="3655" spans="1:8">
      <c r="A3655" s="5">
        <v>3382</v>
      </c>
      <c r="B3655" s="6" t="str">
        <f>"曾洁"</f>
        <v>曾洁</v>
      </c>
      <c r="C3655" s="6" t="str">
        <f t="shared" si="173"/>
        <v>女</v>
      </c>
      <c r="D3655" s="6" t="str">
        <f>"202130034122"</f>
        <v>202130034122</v>
      </c>
      <c r="E3655" s="10" t="s">
        <v>27</v>
      </c>
      <c r="F3655" s="6" t="s">
        <v>12</v>
      </c>
      <c r="G3655" s="8">
        <v>62.75</v>
      </c>
      <c r="H3655" s="6"/>
    </row>
    <row r="3656" spans="1:8">
      <c r="A3656" s="5">
        <v>3452</v>
      </c>
      <c r="B3656" s="6" t="str">
        <f>"高颖"</f>
        <v>高颖</v>
      </c>
      <c r="C3656" s="6" t="str">
        <f t="shared" si="173"/>
        <v>女</v>
      </c>
      <c r="D3656" s="6" t="str">
        <f>"202130034123"</f>
        <v>202130034123</v>
      </c>
      <c r="E3656" s="10" t="s">
        <v>27</v>
      </c>
      <c r="F3656" s="6" t="s">
        <v>12</v>
      </c>
      <c r="G3656" s="8">
        <v>56.15</v>
      </c>
      <c r="H3656" s="6"/>
    </row>
    <row r="3657" spans="1:8">
      <c r="A3657" s="5">
        <v>3338</v>
      </c>
      <c r="B3657" s="6" t="str">
        <f>"刘检球"</f>
        <v>刘检球</v>
      </c>
      <c r="C3657" s="6" t="str">
        <f>"男"</f>
        <v>男</v>
      </c>
      <c r="D3657" s="6" t="str">
        <f>"202130034124"</f>
        <v>202130034124</v>
      </c>
      <c r="E3657" s="10" t="s">
        <v>27</v>
      </c>
      <c r="F3657" s="6" t="s">
        <v>12</v>
      </c>
      <c r="G3657" s="8">
        <v>70.05</v>
      </c>
      <c r="H3657" s="6"/>
    </row>
    <row r="3658" spans="1:8">
      <c r="A3658" s="5">
        <v>3377</v>
      </c>
      <c r="B3658" s="6" t="str">
        <f>"马曌"</f>
        <v>马曌</v>
      </c>
      <c r="C3658" s="6" t="str">
        <f t="shared" ref="C3658:C3664" si="174">"女"</f>
        <v>女</v>
      </c>
      <c r="D3658" s="6" t="str">
        <f>"202130034125"</f>
        <v>202130034125</v>
      </c>
      <c r="E3658" s="10" t="s">
        <v>27</v>
      </c>
      <c r="F3658" s="6" t="s">
        <v>12</v>
      </c>
      <c r="G3658" s="8">
        <v>85.25</v>
      </c>
      <c r="H3658" s="6"/>
    </row>
    <row r="3659" spans="1:8">
      <c r="A3659" s="5">
        <v>3400</v>
      </c>
      <c r="B3659" s="6" t="str">
        <f>"邓卓雅"</f>
        <v>邓卓雅</v>
      </c>
      <c r="C3659" s="6" t="str">
        <f t="shared" si="174"/>
        <v>女</v>
      </c>
      <c r="D3659" s="6" t="str">
        <f>"202130034126"</f>
        <v>202130034126</v>
      </c>
      <c r="E3659" s="10" t="s">
        <v>27</v>
      </c>
      <c r="F3659" s="6" t="s">
        <v>12</v>
      </c>
      <c r="G3659" s="8">
        <v>53.75</v>
      </c>
      <c r="H3659" s="6"/>
    </row>
    <row r="3660" spans="1:8">
      <c r="A3660" s="5">
        <v>3370</v>
      </c>
      <c r="B3660" s="6" t="str">
        <f>"谢瑭"</f>
        <v>谢瑭</v>
      </c>
      <c r="C3660" s="6" t="str">
        <f t="shared" si="174"/>
        <v>女</v>
      </c>
      <c r="D3660" s="6" t="str">
        <f>"202130034127"</f>
        <v>202130034127</v>
      </c>
      <c r="E3660" s="10" t="s">
        <v>27</v>
      </c>
      <c r="F3660" s="6" t="s">
        <v>12</v>
      </c>
      <c r="G3660" s="8">
        <v>87.35</v>
      </c>
      <c r="H3660" s="6"/>
    </row>
    <row r="3661" spans="1:8">
      <c r="A3661" s="5">
        <v>3435</v>
      </c>
      <c r="B3661" s="6" t="str">
        <f>"袁依"</f>
        <v>袁依</v>
      </c>
      <c r="C3661" s="6" t="str">
        <f t="shared" si="174"/>
        <v>女</v>
      </c>
      <c r="D3661" s="6" t="str">
        <f>"202130034128"</f>
        <v>202130034128</v>
      </c>
      <c r="E3661" s="10" t="s">
        <v>27</v>
      </c>
      <c r="F3661" s="6" t="s">
        <v>12</v>
      </c>
      <c r="G3661" s="8">
        <v>74.45</v>
      </c>
      <c r="H3661" s="6"/>
    </row>
    <row r="3662" spans="1:8">
      <c r="A3662" s="5">
        <v>3417</v>
      </c>
      <c r="B3662" s="6" t="str">
        <f>"唐敏"</f>
        <v>唐敏</v>
      </c>
      <c r="C3662" s="6" t="str">
        <f t="shared" si="174"/>
        <v>女</v>
      </c>
      <c r="D3662" s="6" t="str">
        <f>"202130034129"</f>
        <v>202130034129</v>
      </c>
      <c r="E3662" s="10" t="s">
        <v>27</v>
      </c>
      <c r="F3662" s="6" t="s">
        <v>12</v>
      </c>
      <c r="G3662" s="8">
        <v>75</v>
      </c>
      <c r="H3662" s="6"/>
    </row>
    <row r="3663" spans="1:8">
      <c r="A3663" s="5">
        <v>3379</v>
      </c>
      <c r="B3663" s="6" t="str">
        <f>"夏雨"</f>
        <v>夏雨</v>
      </c>
      <c r="C3663" s="6" t="str">
        <f t="shared" si="174"/>
        <v>女</v>
      </c>
      <c r="D3663" s="6" t="str">
        <f>"202130034130"</f>
        <v>202130034130</v>
      </c>
      <c r="E3663" s="10" t="s">
        <v>27</v>
      </c>
      <c r="F3663" s="6" t="s">
        <v>12</v>
      </c>
      <c r="G3663" s="8">
        <v>81.849999999999994</v>
      </c>
      <c r="H3663" s="6"/>
    </row>
    <row r="3664" spans="1:8">
      <c r="A3664" s="5">
        <v>3480</v>
      </c>
      <c r="B3664" s="6" t="str">
        <f>"彭思娟"</f>
        <v>彭思娟</v>
      </c>
      <c r="C3664" s="6" t="str">
        <f t="shared" si="174"/>
        <v>女</v>
      </c>
      <c r="D3664" s="6" t="str">
        <f>"202130034401"</f>
        <v>202130034401</v>
      </c>
      <c r="E3664" s="10" t="s">
        <v>27</v>
      </c>
      <c r="F3664" s="6" t="s">
        <v>12</v>
      </c>
      <c r="G3664" s="8">
        <v>52</v>
      </c>
      <c r="H3664" s="6"/>
    </row>
    <row r="3665" spans="1:8">
      <c r="A3665" s="5">
        <v>3489</v>
      </c>
      <c r="B3665" s="6" t="str">
        <f>"刘杰"</f>
        <v>刘杰</v>
      </c>
      <c r="C3665" s="6" t="str">
        <f>"男"</f>
        <v>男</v>
      </c>
      <c r="D3665" s="6" t="str">
        <f>"202130034402"</f>
        <v>202130034402</v>
      </c>
      <c r="E3665" s="10" t="s">
        <v>27</v>
      </c>
      <c r="F3665" s="6" t="s">
        <v>12</v>
      </c>
      <c r="G3665" s="8">
        <v>63.85</v>
      </c>
      <c r="H3665" s="6"/>
    </row>
    <row r="3666" spans="1:8">
      <c r="A3666" s="5">
        <v>3312</v>
      </c>
      <c r="B3666" s="6" t="str">
        <f>"曾仲群"</f>
        <v>曾仲群</v>
      </c>
      <c r="C3666" s="6" t="str">
        <f>"男"</f>
        <v>男</v>
      </c>
      <c r="D3666" s="6" t="str">
        <f>"202130034403"</f>
        <v>202130034403</v>
      </c>
      <c r="E3666" s="10" t="s">
        <v>27</v>
      </c>
      <c r="F3666" s="6" t="s">
        <v>12</v>
      </c>
      <c r="G3666" s="8">
        <v>73.650000000000006</v>
      </c>
      <c r="H3666" s="6"/>
    </row>
    <row r="3667" spans="1:8">
      <c r="A3667" s="5">
        <v>3348</v>
      </c>
      <c r="B3667" s="6" t="str">
        <f>"李彩莲"</f>
        <v>李彩莲</v>
      </c>
      <c r="C3667" s="6" t="str">
        <f>"女"</f>
        <v>女</v>
      </c>
      <c r="D3667" s="6" t="str">
        <f>"202130034404"</f>
        <v>202130034404</v>
      </c>
      <c r="E3667" s="10" t="s">
        <v>27</v>
      </c>
      <c r="F3667" s="6" t="s">
        <v>12</v>
      </c>
      <c r="G3667" s="8">
        <v>74.45</v>
      </c>
      <c r="H3667" s="6"/>
    </row>
    <row r="3668" spans="1:8">
      <c r="A3668" s="5">
        <v>3356</v>
      </c>
      <c r="B3668" s="6" t="str">
        <f>"赵娉"</f>
        <v>赵娉</v>
      </c>
      <c r="C3668" s="6" t="str">
        <f>"女"</f>
        <v>女</v>
      </c>
      <c r="D3668" s="6" t="str">
        <f>"202130034405"</f>
        <v>202130034405</v>
      </c>
      <c r="E3668" s="10" t="s">
        <v>27</v>
      </c>
      <c r="F3668" s="6" t="s">
        <v>12</v>
      </c>
      <c r="G3668" s="8">
        <v>0</v>
      </c>
      <c r="H3668" s="9">
        <v>1</v>
      </c>
    </row>
    <row r="3669" spans="1:8">
      <c r="A3669" s="5">
        <v>3331</v>
      </c>
      <c r="B3669" s="6" t="str">
        <f>"唐霜"</f>
        <v>唐霜</v>
      </c>
      <c r="C3669" s="6" t="str">
        <f>"女"</f>
        <v>女</v>
      </c>
      <c r="D3669" s="6" t="str">
        <f>"202130034406"</f>
        <v>202130034406</v>
      </c>
      <c r="E3669" s="10" t="s">
        <v>27</v>
      </c>
      <c r="F3669" s="6" t="s">
        <v>12</v>
      </c>
      <c r="G3669" s="8">
        <v>60.05</v>
      </c>
      <c r="H3669" s="6"/>
    </row>
    <row r="3670" spans="1:8">
      <c r="A3670" s="5">
        <v>3408</v>
      </c>
      <c r="B3670" s="6" t="str">
        <f>"龙丹妮"</f>
        <v>龙丹妮</v>
      </c>
      <c r="C3670" s="6" t="str">
        <f>"女"</f>
        <v>女</v>
      </c>
      <c r="D3670" s="6" t="str">
        <f>"202130034407"</f>
        <v>202130034407</v>
      </c>
      <c r="E3670" s="10" t="s">
        <v>27</v>
      </c>
      <c r="F3670" s="6" t="s">
        <v>12</v>
      </c>
      <c r="G3670" s="8">
        <v>67.099999999999994</v>
      </c>
      <c r="H3670" s="6"/>
    </row>
    <row r="3671" spans="1:8">
      <c r="A3671" s="5">
        <v>3304</v>
      </c>
      <c r="B3671" s="6" t="str">
        <f>"何海辉"</f>
        <v>何海辉</v>
      </c>
      <c r="C3671" s="6" t="str">
        <f>"男"</f>
        <v>男</v>
      </c>
      <c r="D3671" s="6" t="str">
        <f>"202130034408"</f>
        <v>202130034408</v>
      </c>
      <c r="E3671" s="10" t="s">
        <v>27</v>
      </c>
      <c r="F3671" s="6" t="s">
        <v>12</v>
      </c>
      <c r="G3671" s="8">
        <v>82.55</v>
      </c>
      <c r="H3671" s="6"/>
    </row>
    <row r="3672" spans="1:8">
      <c r="A3672" s="5">
        <v>3317</v>
      </c>
      <c r="B3672" s="6" t="str">
        <f>"杨小柳"</f>
        <v>杨小柳</v>
      </c>
      <c r="C3672" s="6" t="str">
        <f>"女"</f>
        <v>女</v>
      </c>
      <c r="D3672" s="6" t="str">
        <f>"202130034409"</f>
        <v>202130034409</v>
      </c>
      <c r="E3672" s="10" t="s">
        <v>27</v>
      </c>
      <c r="F3672" s="6" t="s">
        <v>12</v>
      </c>
      <c r="G3672" s="8">
        <v>66.900000000000006</v>
      </c>
      <c r="H3672" s="6"/>
    </row>
    <row r="3673" spans="1:8">
      <c r="A3673" s="5">
        <v>3501</v>
      </c>
      <c r="B3673" s="6" t="str">
        <f>"尹梦婷"</f>
        <v>尹梦婷</v>
      </c>
      <c r="C3673" s="6" t="str">
        <f>"女"</f>
        <v>女</v>
      </c>
      <c r="D3673" s="6" t="str">
        <f>"202130034410"</f>
        <v>202130034410</v>
      </c>
      <c r="E3673" s="10" t="s">
        <v>27</v>
      </c>
      <c r="F3673" s="6" t="s">
        <v>12</v>
      </c>
      <c r="G3673" s="8">
        <v>56.3</v>
      </c>
      <c r="H3673" s="6"/>
    </row>
    <row r="3674" spans="1:8">
      <c r="A3674" s="5">
        <v>3425</v>
      </c>
      <c r="B3674" s="6" t="str">
        <f>"易彩霞"</f>
        <v>易彩霞</v>
      </c>
      <c r="C3674" s="6" t="str">
        <f>"女"</f>
        <v>女</v>
      </c>
      <c r="D3674" s="6" t="str">
        <f>"202130034411"</f>
        <v>202130034411</v>
      </c>
      <c r="E3674" s="10" t="s">
        <v>27</v>
      </c>
      <c r="F3674" s="6" t="s">
        <v>12</v>
      </c>
      <c r="G3674" s="8">
        <v>91.8</v>
      </c>
      <c r="H3674" s="6"/>
    </row>
    <row r="3675" spans="1:8">
      <c r="A3675" s="5">
        <v>3418</v>
      </c>
      <c r="B3675" s="6" t="str">
        <f>"杨婷"</f>
        <v>杨婷</v>
      </c>
      <c r="C3675" s="6" t="str">
        <f>"女"</f>
        <v>女</v>
      </c>
      <c r="D3675" s="6" t="str">
        <f>"202130034412"</f>
        <v>202130034412</v>
      </c>
      <c r="E3675" s="10" t="s">
        <v>27</v>
      </c>
      <c r="F3675" s="6" t="s">
        <v>12</v>
      </c>
      <c r="G3675" s="8">
        <v>45.25</v>
      </c>
      <c r="H3675" s="6"/>
    </row>
    <row r="3676" spans="1:8">
      <c r="A3676" s="5">
        <v>3374</v>
      </c>
      <c r="B3676" s="6" t="str">
        <f>"李小港"</f>
        <v>李小港</v>
      </c>
      <c r="C3676" s="6" t="str">
        <f>"男"</f>
        <v>男</v>
      </c>
      <c r="D3676" s="6" t="str">
        <f>"202130034413"</f>
        <v>202130034413</v>
      </c>
      <c r="E3676" s="10" t="s">
        <v>27</v>
      </c>
      <c r="F3676" s="6" t="s">
        <v>12</v>
      </c>
      <c r="G3676" s="8">
        <v>85.8</v>
      </c>
      <c r="H3676" s="6"/>
    </row>
    <row r="3677" spans="1:8">
      <c r="A3677" s="5">
        <v>3437</v>
      </c>
      <c r="B3677" s="6" t="str">
        <f>"张婷"</f>
        <v>张婷</v>
      </c>
      <c r="C3677" s="6" t="str">
        <f t="shared" ref="C3677:C3708" si="175">"女"</f>
        <v>女</v>
      </c>
      <c r="D3677" s="6" t="str">
        <f>"202130034414"</f>
        <v>202130034414</v>
      </c>
      <c r="E3677" s="10" t="s">
        <v>27</v>
      </c>
      <c r="F3677" s="6" t="s">
        <v>12</v>
      </c>
      <c r="G3677" s="8">
        <v>83.15</v>
      </c>
      <c r="H3677" s="6"/>
    </row>
    <row r="3678" spans="1:8">
      <c r="A3678" s="5">
        <v>3623</v>
      </c>
      <c r="B3678" s="6" t="str">
        <f>"李萍"</f>
        <v>李萍</v>
      </c>
      <c r="C3678" s="6" t="str">
        <f t="shared" si="175"/>
        <v>女</v>
      </c>
      <c r="D3678" s="6" t="str">
        <f>"202131021601"</f>
        <v>202131021601</v>
      </c>
      <c r="E3678" s="10" t="s">
        <v>27</v>
      </c>
      <c r="F3678" s="6" t="s">
        <v>13</v>
      </c>
      <c r="G3678" s="8">
        <v>79.400000000000006</v>
      </c>
      <c r="H3678" s="6"/>
    </row>
    <row r="3679" spans="1:8">
      <c r="A3679" s="5">
        <v>3534</v>
      </c>
      <c r="B3679" s="6" t="str">
        <f>"刘巧玲"</f>
        <v>刘巧玲</v>
      </c>
      <c r="C3679" s="6" t="str">
        <f t="shared" si="175"/>
        <v>女</v>
      </c>
      <c r="D3679" s="6" t="str">
        <f>"202131021602"</f>
        <v>202131021602</v>
      </c>
      <c r="E3679" s="10" t="s">
        <v>27</v>
      </c>
      <c r="F3679" s="6" t="s">
        <v>13</v>
      </c>
      <c r="G3679" s="8">
        <v>82</v>
      </c>
      <c r="H3679" s="6"/>
    </row>
    <row r="3680" spans="1:8">
      <c r="A3680" s="5">
        <v>3589</v>
      </c>
      <c r="B3680" s="6" t="str">
        <f>"石金茹"</f>
        <v>石金茹</v>
      </c>
      <c r="C3680" s="6" t="str">
        <f t="shared" si="175"/>
        <v>女</v>
      </c>
      <c r="D3680" s="6" t="str">
        <f>"202131021603"</f>
        <v>202131021603</v>
      </c>
      <c r="E3680" s="10" t="s">
        <v>27</v>
      </c>
      <c r="F3680" s="6" t="s">
        <v>13</v>
      </c>
      <c r="G3680" s="8">
        <v>67.75</v>
      </c>
      <c r="H3680" s="6"/>
    </row>
    <row r="3681" spans="1:8">
      <c r="A3681" s="5">
        <v>3565</v>
      </c>
      <c r="B3681" s="6" t="str">
        <f>"陈姣"</f>
        <v>陈姣</v>
      </c>
      <c r="C3681" s="6" t="str">
        <f t="shared" si="175"/>
        <v>女</v>
      </c>
      <c r="D3681" s="6" t="str">
        <f>"202131021604"</f>
        <v>202131021604</v>
      </c>
      <c r="E3681" s="10" t="s">
        <v>27</v>
      </c>
      <c r="F3681" s="6" t="s">
        <v>13</v>
      </c>
      <c r="G3681" s="8">
        <v>0</v>
      </c>
      <c r="H3681" s="9">
        <v>1</v>
      </c>
    </row>
    <row r="3682" spans="1:8">
      <c r="A3682" s="5">
        <v>3584</v>
      </c>
      <c r="B3682" s="6" t="str">
        <f>"唐倩"</f>
        <v>唐倩</v>
      </c>
      <c r="C3682" s="6" t="str">
        <f t="shared" si="175"/>
        <v>女</v>
      </c>
      <c r="D3682" s="6" t="str">
        <f>"202131021605"</f>
        <v>202131021605</v>
      </c>
      <c r="E3682" s="10" t="s">
        <v>27</v>
      </c>
      <c r="F3682" s="6" t="s">
        <v>13</v>
      </c>
      <c r="G3682" s="8">
        <v>68</v>
      </c>
      <c r="H3682" s="6"/>
    </row>
    <row r="3683" spans="1:8">
      <c r="A3683" s="5">
        <v>3653</v>
      </c>
      <c r="B3683" s="6" t="str">
        <f>"朱星鑫"</f>
        <v>朱星鑫</v>
      </c>
      <c r="C3683" s="6" t="str">
        <f t="shared" si="175"/>
        <v>女</v>
      </c>
      <c r="D3683" s="6" t="str">
        <f>"202131021606"</f>
        <v>202131021606</v>
      </c>
      <c r="E3683" s="10" t="s">
        <v>27</v>
      </c>
      <c r="F3683" s="6" t="s">
        <v>13</v>
      </c>
      <c r="G3683" s="8">
        <v>0</v>
      </c>
      <c r="H3683" s="9">
        <v>1</v>
      </c>
    </row>
    <row r="3684" spans="1:8">
      <c r="A3684" s="5">
        <v>3679</v>
      </c>
      <c r="B3684" s="6" t="str">
        <f>"黄卫"</f>
        <v>黄卫</v>
      </c>
      <c r="C3684" s="6" t="str">
        <f t="shared" si="175"/>
        <v>女</v>
      </c>
      <c r="D3684" s="6" t="str">
        <f>"202131021607"</f>
        <v>202131021607</v>
      </c>
      <c r="E3684" s="10" t="s">
        <v>27</v>
      </c>
      <c r="F3684" s="6" t="s">
        <v>13</v>
      </c>
      <c r="G3684" s="8">
        <v>78.05</v>
      </c>
      <c r="H3684" s="6"/>
    </row>
    <row r="3685" spans="1:8">
      <c r="A3685" s="5">
        <v>3626</v>
      </c>
      <c r="B3685" s="6" t="str">
        <f>"李彩华"</f>
        <v>李彩华</v>
      </c>
      <c r="C3685" s="6" t="str">
        <f t="shared" si="175"/>
        <v>女</v>
      </c>
      <c r="D3685" s="6" t="str">
        <f>"202131021608"</f>
        <v>202131021608</v>
      </c>
      <c r="E3685" s="10" t="s">
        <v>27</v>
      </c>
      <c r="F3685" s="6" t="s">
        <v>13</v>
      </c>
      <c r="G3685" s="8">
        <v>83.5</v>
      </c>
      <c r="H3685" s="6"/>
    </row>
    <row r="3686" spans="1:8">
      <c r="A3686" s="5">
        <v>3582</v>
      </c>
      <c r="B3686" s="6" t="str">
        <f>"曾艳芳"</f>
        <v>曾艳芳</v>
      </c>
      <c r="C3686" s="6" t="str">
        <f t="shared" si="175"/>
        <v>女</v>
      </c>
      <c r="D3686" s="6" t="str">
        <f>"202131021609"</f>
        <v>202131021609</v>
      </c>
      <c r="E3686" s="10" t="s">
        <v>27</v>
      </c>
      <c r="F3686" s="6" t="s">
        <v>13</v>
      </c>
      <c r="G3686" s="8">
        <v>71.099999999999994</v>
      </c>
      <c r="H3686" s="6"/>
    </row>
    <row r="3687" spans="1:8">
      <c r="A3687" s="5">
        <v>3564</v>
      </c>
      <c r="B3687" s="6" t="str">
        <f>"郭星"</f>
        <v>郭星</v>
      </c>
      <c r="C3687" s="6" t="str">
        <f t="shared" si="175"/>
        <v>女</v>
      </c>
      <c r="D3687" s="6" t="str">
        <f>"202131021610"</f>
        <v>202131021610</v>
      </c>
      <c r="E3687" s="10" t="s">
        <v>27</v>
      </c>
      <c r="F3687" s="6" t="s">
        <v>13</v>
      </c>
      <c r="G3687" s="8">
        <v>85.85</v>
      </c>
      <c r="H3687" s="6"/>
    </row>
    <row r="3688" spans="1:8">
      <c r="A3688" s="5">
        <v>3624</v>
      </c>
      <c r="B3688" s="6" t="str">
        <f>"周娟"</f>
        <v>周娟</v>
      </c>
      <c r="C3688" s="6" t="str">
        <f t="shared" si="175"/>
        <v>女</v>
      </c>
      <c r="D3688" s="6" t="str">
        <f>"202131021611"</f>
        <v>202131021611</v>
      </c>
      <c r="E3688" s="10" t="s">
        <v>27</v>
      </c>
      <c r="F3688" s="6" t="s">
        <v>13</v>
      </c>
      <c r="G3688" s="8">
        <v>82.25</v>
      </c>
      <c r="H3688" s="6"/>
    </row>
    <row r="3689" spans="1:8">
      <c r="A3689" s="5">
        <v>3529</v>
      </c>
      <c r="B3689" s="6" t="str">
        <f>"苏秦"</f>
        <v>苏秦</v>
      </c>
      <c r="C3689" s="6" t="str">
        <f t="shared" si="175"/>
        <v>女</v>
      </c>
      <c r="D3689" s="6" t="str">
        <f>"202131021612"</f>
        <v>202131021612</v>
      </c>
      <c r="E3689" s="10" t="s">
        <v>27</v>
      </c>
      <c r="F3689" s="6" t="s">
        <v>13</v>
      </c>
      <c r="G3689" s="8">
        <v>0</v>
      </c>
      <c r="H3689" s="9">
        <v>1</v>
      </c>
    </row>
    <row r="3690" spans="1:8">
      <c r="A3690" s="5">
        <v>3580</v>
      </c>
      <c r="B3690" s="6" t="str">
        <f>"吴琴"</f>
        <v>吴琴</v>
      </c>
      <c r="C3690" s="6" t="str">
        <f t="shared" si="175"/>
        <v>女</v>
      </c>
      <c r="D3690" s="6" t="str">
        <f>"202131021613"</f>
        <v>202131021613</v>
      </c>
      <c r="E3690" s="10" t="s">
        <v>27</v>
      </c>
      <c r="F3690" s="6" t="s">
        <v>13</v>
      </c>
      <c r="G3690" s="8">
        <v>74.2</v>
      </c>
      <c r="H3690" s="6"/>
    </row>
    <row r="3691" spans="1:8">
      <c r="A3691" s="5">
        <v>3639</v>
      </c>
      <c r="B3691" s="6" t="str">
        <f>"赵文艳"</f>
        <v>赵文艳</v>
      </c>
      <c r="C3691" s="6" t="str">
        <f t="shared" si="175"/>
        <v>女</v>
      </c>
      <c r="D3691" s="6" t="str">
        <f>"202131021614"</f>
        <v>202131021614</v>
      </c>
      <c r="E3691" s="10" t="s">
        <v>27</v>
      </c>
      <c r="F3691" s="6" t="s">
        <v>13</v>
      </c>
      <c r="G3691" s="8">
        <v>91.6</v>
      </c>
      <c r="H3691" s="6"/>
    </row>
    <row r="3692" spans="1:8">
      <c r="A3692" s="5">
        <v>3672</v>
      </c>
      <c r="B3692" s="6" t="str">
        <f>"魏芳"</f>
        <v>魏芳</v>
      </c>
      <c r="C3692" s="6" t="str">
        <f t="shared" si="175"/>
        <v>女</v>
      </c>
      <c r="D3692" s="6" t="str">
        <f>"202131021615"</f>
        <v>202131021615</v>
      </c>
      <c r="E3692" s="10" t="s">
        <v>27</v>
      </c>
      <c r="F3692" s="6" t="s">
        <v>13</v>
      </c>
      <c r="G3692" s="8">
        <v>78.650000000000006</v>
      </c>
      <c r="H3692" s="6"/>
    </row>
    <row r="3693" spans="1:8">
      <c r="A3693" s="5">
        <v>3685</v>
      </c>
      <c r="B3693" s="6" t="str">
        <f>"张琳"</f>
        <v>张琳</v>
      </c>
      <c r="C3693" s="6" t="str">
        <f t="shared" si="175"/>
        <v>女</v>
      </c>
      <c r="D3693" s="6" t="str">
        <f>"202131021616"</f>
        <v>202131021616</v>
      </c>
      <c r="E3693" s="10" t="s">
        <v>27</v>
      </c>
      <c r="F3693" s="6" t="s">
        <v>13</v>
      </c>
      <c r="G3693" s="8">
        <v>79.5</v>
      </c>
      <c r="H3693" s="6"/>
    </row>
    <row r="3694" spans="1:8">
      <c r="A3694" s="5">
        <v>3683</v>
      </c>
      <c r="B3694" s="6" t="str">
        <f>"梁小琴"</f>
        <v>梁小琴</v>
      </c>
      <c r="C3694" s="6" t="str">
        <f t="shared" si="175"/>
        <v>女</v>
      </c>
      <c r="D3694" s="6" t="str">
        <f>"202131021617"</f>
        <v>202131021617</v>
      </c>
      <c r="E3694" s="10" t="s">
        <v>27</v>
      </c>
      <c r="F3694" s="6" t="s">
        <v>13</v>
      </c>
      <c r="G3694" s="8">
        <v>76.45</v>
      </c>
      <c r="H3694" s="6"/>
    </row>
    <row r="3695" spans="1:8">
      <c r="A3695" s="5">
        <v>3566</v>
      </c>
      <c r="B3695" s="6" t="str">
        <f>"李冬玲"</f>
        <v>李冬玲</v>
      </c>
      <c r="C3695" s="6" t="str">
        <f t="shared" si="175"/>
        <v>女</v>
      </c>
      <c r="D3695" s="6" t="str">
        <f>"202131021618"</f>
        <v>202131021618</v>
      </c>
      <c r="E3695" s="10" t="s">
        <v>27</v>
      </c>
      <c r="F3695" s="6" t="s">
        <v>13</v>
      </c>
      <c r="G3695" s="8">
        <v>70.25</v>
      </c>
      <c r="H3695" s="6"/>
    </row>
    <row r="3696" spans="1:8">
      <c r="A3696" s="5">
        <v>3702</v>
      </c>
      <c r="B3696" s="6" t="str">
        <f>"陈丽娜"</f>
        <v>陈丽娜</v>
      </c>
      <c r="C3696" s="6" t="str">
        <f t="shared" si="175"/>
        <v>女</v>
      </c>
      <c r="D3696" s="6" t="str">
        <f>"202131021619"</f>
        <v>202131021619</v>
      </c>
      <c r="E3696" s="10" t="s">
        <v>27</v>
      </c>
      <c r="F3696" s="6" t="s">
        <v>13</v>
      </c>
      <c r="G3696" s="8">
        <v>73.650000000000006</v>
      </c>
      <c r="H3696" s="6"/>
    </row>
    <row r="3697" spans="1:8">
      <c r="A3697" s="5">
        <v>3634</v>
      </c>
      <c r="B3697" s="6" t="str">
        <f>"伍月"</f>
        <v>伍月</v>
      </c>
      <c r="C3697" s="6" t="str">
        <f t="shared" si="175"/>
        <v>女</v>
      </c>
      <c r="D3697" s="6" t="str">
        <f>"202131021620"</f>
        <v>202131021620</v>
      </c>
      <c r="E3697" s="10" t="s">
        <v>27</v>
      </c>
      <c r="F3697" s="6" t="s">
        <v>13</v>
      </c>
      <c r="G3697" s="8">
        <v>80.599999999999994</v>
      </c>
      <c r="H3697" s="6"/>
    </row>
    <row r="3698" spans="1:8">
      <c r="A3698" s="5">
        <v>3527</v>
      </c>
      <c r="B3698" s="6" t="str">
        <f>"易文婷"</f>
        <v>易文婷</v>
      </c>
      <c r="C3698" s="6" t="str">
        <f t="shared" si="175"/>
        <v>女</v>
      </c>
      <c r="D3698" s="6" t="str">
        <f>"202131021621"</f>
        <v>202131021621</v>
      </c>
      <c r="E3698" s="10" t="s">
        <v>27</v>
      </c>
      <c r="F3698" s="6" t="s">
        <v>13</v>
      </c>
      <c r="G3698" s="8">
        <v>74.75</v>
      </c>
      <c r="H3698" s="6"/>
    </row>
    <row r="3699" spans="1:8">
      <c r="A3699" s="5">
        <v>3686</v>
      </c>
      <c r="B3699" s="6" t="str">
        <f>"唐鑫"</f>
        <v>唐鑫</v>
      </c>
      <c r="C3699" s="6" t="str">
        <f t="shared" si="175"/>
        <v>女</v>
      </c>
      <c r="D3699" s="6" t="str">
        <f>"202131021622"</f>
        <v>202131021622</v>
      </c>
      <c r="E3699" s="10" t="s">
        <v>27</v>
      </c>
      <c r="F3699" s="6" t="s">
        <v>13</v>
      </c>
      <c r="G3699" s="8">
        <v>68</v>
      </c>
      <c r="H3699" s="6"/>
    </row>
    <row r="3700" spans="1:8">
      <c r="A3700" s="5">
        <v>3600</v>
      </c>
      <c r="B3700" s="6" t="str">
        <f>"李叶琴"</f>
        <v>李叶琴</v>
      </c>
      <c r="C3700" s="6" t="str">
        <f t="shared" si="175"/>
        <v>女</v>
      </c>
      <c r="D3700" s="6" t="str">
        <f>"202131021623"</f>
        <v>202131021623</v>
      </c>
      <c r="E3700" s="10" t="s">
        <v>27</v>
      </c>
      <c r="F3700" s="6" t="s">
        <v>13</v>
      </c>
      <c r="G3700" s="8">
        <v>85</v>
      </c>
      <c r="H3700" s="6"/>
    </row>
    <row r="3701" spans="1:8">
      <c r="A3701" s="5">
        <v>3592</v>
      </c>
      <c r="B3701" s="6" t="str">
        <f>"彭炎"</f>
        <v>彭炎</v>
      </c>
      <c r="C3701" s="6" t="str">
        <f t="shared" si="175"/>
        <v>女</v>
      </c>
      <c r="D3701" s="6" t="str">
        <f>"202131021624"</f>
        <v>202131021624</v>
      </c>
      <c r="E3701" s="10" t="s">
        <v>27</v>
      </c>
      <c r="F3701" s="6" t="s">
        <v>13</v>
      </c>
      <c r="G3701" s="8">
        <v>86.1</v>
      </c>
      <c r="H3701" s="6"/>
    </row>
    <row r="3702" spans="1:8">
      <c r="A3702" s="5">
        <v>3552</v>
      </c>
      <c r="B3702" s="6" t="str">
        <f>"马玉婷"</f>
        <v>马玉婷</v>
      </c>
      <c r="C3702" s="6" t="str">
        <f t="shared" si="175"/>
        <v>女</v>
      </c>
      <c r="D3702" s="6" t="str">
        <f>"202131021625"</f>
        <v>202131021625</v>
      </c>
      <c r="E3702" s="10" t="s">
        <v>27</v>
      </c>
      <c r="F3702" s="6" t="s">
        <v>13</v>
      </c>
      <c r="G3702" s="8">
        <v>0</v>
      </c>
      <c r="H3702" s="9">
        <v>1</v>
      </c>
    </row>
    <row r="3703" spans="1:8">
      <c r="A3703" s="5">
        <v>3665</v>
      </c>
      <c r="B3703" s="6" t="str">
        <f>"佘秀花"</f>
        <v>佘秀花</v>
      </c>
      <c r="C3703" s="6" t="str">
        <f t="shared" si="175"/>
        <v>女</v>
      </c>
      <c r="D3703" s="6" t="str">
        <f>"202131021626"</f>
        <v>202131021626</v>
      </c>
      <c r="E3703" s="10" t="s">
        <v>27</v>
      </c>
      <c r="F3703" s="6" t="s">
        <v>13</v>
      </c>
      <c r="G3703" s="8">
        <v>70.8</v>
      </c>
      <c r="H3703" s="6"/>
    </row>
    <row r="3704" spans="1:8">
      <c r="A3704" s="5">
        <v>3551</v>
      </c>
      <c r="B3704" s="6" t="str">
        <f>"刘红艳"</f>
        <v>刘红艳</v>
      </c>
      <c r="C3704" s="6" t="str">
        <f t="shared" si="175"/>
        <v>女</v>
      </c>
      <c r="D3704" s="6" t="str">
        <f>"202131021627"</f>
        <v>202131021627</v>
      </c>
      <c r="E3704" s="10" t="s">
        <v>27</v>
      </c>
      <c r="F3704" s="6" t="s">
        <v>13</v>
      </c>
      <c r="G3704" s="8">
        <v>67.05</v>
      </c>
      <c r="H3704" s="6"/>
    </row>
    <row r="3705" spans="1:8">
      <c r="A3705" s="5">
        <v>3550</v>
      </c>
      <c r="B3705" s="6" t="str">
        <f>"田书琴"</f>
        <v>田书琴</v>
      </c>
      <c r="C3705" s="6" t="str">
        <f t="shared" si="175"/>
        <v>女</v>
      </c>
      <c r="D3705" s="6" t="str">
        <f>"202131021628"</f>
        <v>202131021628</v>
      </c>
      <c r="E3705" s="10" t="s">
        <v>27</v>
      </c>
      <c r="F3705" s="6" t="s">
        <v>13</v>
      </c>
      <c r="G3705" s="8">
        <v>82</v>
      </c>
      <c r="H3705" s="6"/>
    </row>
    <row r="3706" spans="1:8">
      <c r="A3706" s="5">
        <v>3537</v>
      </c>
      <c r="B3706" s="6" t="str">
        <f>"张茜"</f>
        <v>张茜</v>
      </c>
      <c r="C3706" s="6" t="str">
        <f t="shared" si="175"/>
        <v>女</v>
      </c>
      <c r="D3706" s="6" t="str">
        <f>"202131021629"</f>
        <v>202131021629</v>
      </c>
      <c r="E3706" s="10" t="s">
        <v>27</v>
      </c>
      <c r="F3706" s="6" t="s">
        <v>13</v>
      </c>
      <c r="G3706" s="8">
        <v>0</v>
      </c>
      <c r="H3706" s="9">
        <v>1</v>
      </c>
    </row>
    <row r="3707" spans="1:8">
      <c r="A3707" s="5">
        <v>3684</v>
      </c>
      <c r="B3707" s="6" t="str">
        <f>"刘园园"</f>
        <v>刘园园</v>
      </c>
      <c r="C3707" s="6" t="str">
        <f t="shared" si="175"/>
        <v>女</v>
      </c>
      <c r="D3707" s="6" t="str">
        <f>"202131021630"</f>
        <v>202131021630</v>
      </c>
      <c r="E3707" s="10" t="s">
        <v>27</v>
      </c>
      <c r="F3707" s="6" t="s">
        <v>13</v>
      </c>
      <c r="G3707" s="8">
        <v>74.349999999999994</v>
      </c>
      <c r="H3707" s="6"/>
    </row>
    <row r="3708" spans="1:8">
      <c r="A3708" s="5">
        <v>3658</v>
      </c>
      <c r="B3708" s="6" t="str">
        <f>"向艳春"</f>
        <v>向艳春</v>
      </c>
      <c r="C3708" s="6" t="str">
        <f t="shared" si="175"/>
        <v>女</v>
      </c>
      <c r="D3708" s="6" t="str">
        <f>"202131021701"</f>
        <v>202131021701</v>
      </c>
      <c r="E3708" s="10" t="s">
        <v>27</v>
      </c>
      <c r="F3708" s="6" t="s">
        <v>13</v>
      </c>
      <c r="G3708" s="8">
        <v>77.2</v>
      </c>
      <c r="H3708" s="6"/>
    </row>
    <row r="3709" spans="1:8">
      <c r="A3709" s="5">
        <v>3603</v>
      </c>
      <c r="B3709" s="6" t="str">
        <f>"蒋连连"</f>
        <v>蒋连连</v>
      </c>
      <c r="C3709" s="6" t="str">
        <f t="shared" ref="C3709:C3728" si="176">"女"</f>
        <v>女</v>
      </c>
      <c r="D3709" s="6" t="str">
        <f>"202131021702"</f>
        <v>202131021702</v>
      </c>
      <c r="E3709" s="10" t="s">
        <v>27</v>
      </c>
      <c r="F3709" s="6" t="s">
        <v>13</v>
      </c>
      <c r="G3709" s="8">
        <v>82.85</v>
      </c>
      <c r="H3709" s="6"/>
    </row>
    <row r="3710" spans="1:8">
      <c r="A3710" s="5">
        <v>3533</v>
      </c>
      <c r="B3710" s="6" t="str">
        <f>"罗洁"</f>
        <v>罗洁</v>
      </c>
      <c r="C3710" s="6" t="str">
        <f t="shared" si="176"/>
        <v>女</v>
      </c>
      <c r="D3710" s="6" t="str">
        <f>"202131021703"</f>
        <v>202131021703</v>
      </c>
      <c r="E3710" s="10" t="s">
        <v>27</v>
      </c>
      <c r="F3710" s="6" t="s">
        <v>13</v>
      </c>
      <c r="G3710" s="8">
        <v>0</v>
      </c>
      <c r="H3710" s="9">
        <v>1</v>
      </c>
    </row>
    <row r="3711" spans="1:8">
      <c r="A3711" s="5">
        <v>3692</v>
      </c>
      <c r="B3711" s="6" t="str">
        <f>"郭梦晴"</f>
        <v>郭梦晴</v>
      </c>
      <c r="C3711" s="6" t="str">
        <f t="shared" si="176"/>
        <v>女</v>
      </c>
      <c r="D3711" s="6" t="str">
        <f>"202131021704"</f>
        <v>202131021704</v>
      </c>
      <c r="E3711" s="10" t="s">
        <v>27</v>
      </c>
      <c r="F3711" s="6" t="s">
        <v>13</v>
      </c>
      <c r="G3711" s="8">
        <v>82.5</v>
      </c>
      <c r="H3711" s="6"/>
    </row>
    <row r="3712" spans="1:8">
      <c r="A3712" s="5">
        <v>3701</v>
      </c>
      <c r="B3712" s="6" t="str">
        <f>"李青"</f>
        <v>李青</v>
      </c>
      <c r="C3712" s="6" t="str">
        <f t="shared" si="176"/>
        <v>女</v>
      </c>
      <c r="D3712" s="6" t="str">
        <f>"202131021705"</f>
        <v>202131021705</v>
      </c>
      <c r="E3712" s="10" t="s">
        <v>27</v>
      </c>
      <c r="F3712" s="6" t="s">
        <v>13</v>
      </c>
      <c r="G3712" s="8">
        <v>78.400000000000006</v>
      </c>
      <c r="H3712" s="6"/>
    </row>
    <row r="3713" spans="1:8">
      <c r="A3713" s="5">
        <v>3660</v>
      </c>
      <c r="B3713" s="6" t="str">
        <f>"曾淑芬"</f>
        <v>曾淑芬</v>
      </c>
      <c r="C3713" s="6" t="str">
        <f t="shared" si="176"/>
        <v>女</v>
      </c>
      <c r="D3713" s="6" t="str">
        <f>"202131021706"</f>
        <v>202131021706</v>
      </c>
      <c r="E3713" s="10" t="s">
        <v>27</v>
      </c>
      <c r="F3713" s="6" t="s">
        <v>13</v>
      </c>
      <c r="G3713" s="8">
        <v>82.75</v>
      </c>
      <c r="H3713" s="6"/>
    </row>
    <row r="3714" spans="1:8">
      <c r="A3714" s="5">
        <v>3563</v>
      </c>
      <c r="B3714" s="6" t="str">
        <f>"陈胤俊"</f>
        <v>陈胤俊</v>
      </c>
      <c r="C3714" s="6" t="str">
        <f t="shared" si="176"/>
        <v>女</v>
      </c>
      <c r="D3714" s="6" t="str">
        <f>"202131021707"</f>
        <v>202131021707</v>
      </c>
      <c r="E3714" s="10" t="s">
        <v>27</v>
      </c>
      <c r="F3714" s="6" t="s">
        <v>13</v>
      </c>
      <c r="G3714" s="8">
        <v>79.25</v>
      </c>
      <c r="H3714" s="6"/>
    </row>
    <row r="3715" spans="1:8">
      <c r="A3715" s="5">
        <v>3588</v>
      </c>
      <c r="B3715" s="6" t="str">
        <f>"封林华"</f>
        <v>封林华</v>
      </c>
      <c r="C3715" s="6" t="str">
        <f t="shared" si="176"/>
        <v>女</v>
      </c>
      <c r="D3715" s="6" t="str">
        <f>"202131021708"</f>
        <v>202131021708</v>
      </c>
      <c r="E3715" s="10" t="s">
        <v>27</v>
      </c>
      <c r="F3715" s="6" t="s">
        <v>13</v>
      </c>
      <c r="G3715" s="8">
        <v>87.5</v>
      </c>
      <c r="H3715" s="6"/>
    </row>
    <row r="3716" spans="1:8">
      <c r="A3716" s="5">
        <v>3604</v>
      </c>
      <c r="B3716" s="6" t="str">
        <f>"李红"</f>
        <v>李红</v>
      </c>
      <c r="C3716" s="6" t="str">
        <f t="shared" si="176"/>
        <v>女</v>
      </c>
      <c r="D3716" s="6" t="str">
        <f>"202131021709"</f>
        <v>202131021709</v>
      </c>
      <c r="E3716" s="10" t="s">
        <v>27</v>
      </c>
      <c r="F3716" s="6" t="s">
        <v>13</v>
      </c>
      <c r="G3716" s="8">
        <v>58.1</v>
      </c>
      <c r="H3716" s="6"/>
    </row>
    <row r="3717" spans="1:8">
      <c r="A3717" s="5">
        <v>3625</v>
      </c>
      <c r="B3717" s="6" t="str">
        <f>"周颖"</f>
        <v>周颖</v>
      </c>
      <c r="C3717" s="6" t="str">
        <f t="shared" si="176"/>
        <v>女</v>
      </c>
      <c r="D3717" s="6" t="str">
        <f>"202131021710"</f>
        <v>202131021710</v>
      </c>
      <c r="E3717" s="10" t="s">
        <v>27</v>
      </c>
      <c r="F3717" s="6" t="s">
        <v>13</v>
      </c>
      <c r="G3717" s="8">
        <v>79.349999999999994</v>
      </c>
      <c r="H3717" s="6"/>
    </row>
    <row r="3718" spans="1:8">
      <c r="A3718" s="5">
        <v>3640</v>
      </c>
      <c r="B3718" s="6" t="str">
        <f>"王秀红"</f>
        <v>王秀红</v>
      </c>
      <c r="C3718" s="6" t="str">
        <f t="shared" si="176"/>
        <v>女</v>
      </c>
      <c r="D3718" s="6" t="str">
        <f>"202131021711"</f>
        <v>202131021711</v>
      </c>
      <c r="E3718" s="10" t="s">
        <v>27</v>
      </c>
      <c r="F3718" s="6" t="s">
        <v>13</v>
      </c>
      <c r="G3718" s="8">
        <v>0</v>
      </c>
      <c r="H3718" s="9">
        <v>1</v>
      </c>
    </row>
    <row r="3719" spans="1:8">
      <c r="A3719" s="5">
        <v>3605</v>
      </c>
      <c r="B3719" s="6" t="str">
        <f>"陈梦瑶"</f>
        <v>陈梦瑶</v>
      </c>
      <c r="C3719" s="6" t="str">
        <f t="shared" si="176"/>
        <v>女</v>
      </c>
      <c r="D3719" s="6" t="str">
        <f>"202131021712"</f>
        <v>202131021712</v>
      </c>
      <c r="E3719" s="10" t="s">
        <v>27</v>
      </c>
      <c r="F3719" s="6" t="s">
        <v>13</v>
      </c>
      <c r="G3719" s="8">
        <v>0</v>
      </c>
      <c r="H3719" s="9">
        <v>1</v>
      </c>
    </row>
    <row r="3720" spans="1:8">
      <c r="A3720" s="5">
        <v>3532</v>
      </c>
      <c r="B3720" s="6" t="str">
        <f>"唐升华"</f>
        <v>唐升华</v>
      </c>
      <c r="C3720" s="6" t="str">
        <f t="shared" si="176"/>
        <v>女</v>
      </c>
      <c r="D3720" s="6" t="str">
        <f>"202131021713"</f>
        <v>202131021713</v>
      </c>
      <c r="E3720" s="10" t="s">
        <v>27</v>
      </c>
      <c r="F3720" s="6" t="s">
        <v>13</v>
      </c>
      <c r="G3720" s="8">
        <v>0</v>
      </c>
      <c r="H3720" s="9">
        <v>1</v>
      </c>
    </row>
    <row r="3721" spans="1:8">
      <c r="A3721" s="5">
        <v>3539</v>
      </c>
      <c r="B3721" s="6" t="str">
        <f>"杨敏"</f>
        <v>杨敏</v>
      </c>
      <c r="C3721" s="6" t="str">
        <f t="shared" si="176"/>
        <v>女</v>
      </c>
      <c r="D3721" s="6" t="str">
        <f>"202131021714"</f>
        <v>202131021714</v>
      </c>
      <c r="E3721" s="10" t="s">
        <v>27</v>
      </c>
      <c r="F3721" s="6" t="s">
        <v>13</v>
      </c>
      <c r="G3721" s="8">
        <v>85.45</v>
      </c>
      <c r="H3721" s="6"/>
    </row>
    <row r="3722" spans="1:8">
      <c r="A3722" s="5">
        <v>3648</v>
      </c>
      <c r="B3722" s="6" t="str">
        <f>"彭耕耘"</f>
        <v>彭耕耘</v>
      </c>
      <c r="C3722" s="6" t="str">
        <f t="shared" si="176"/>
        <v>女</v>
      </c>
      <c r="D3722" s="6" t="str">
        <f>"202131021715"</f>
        <v>202131021715</v>
      </c>
      <c r="E3722" s="10" t="s">
        <v>27</v>
      </c>
      <c r="F3722" s="6" t="s">
        <v>13</v>
      </c>
      <c r="G3722" s="8">
        <v>75.55</v>
      </c>
      <c r="H3722" s="6"/>
    </row>
    <row r="3723" spans="1:8">
      <c r="A3723" s="5">
        <v>3590</v>
      </c>
      <c r="B3723" s="6" t="str">
        <f>"邓露"</f>
        <v>邓露</v>
      </c>
      <c r="C3723" s="6" t="str">
        <f t="shared" si="176"/>
        <v>女</v>
      </c>
      <c r="D3723" s="6" t="str">
        <f>"202131021716"</f>
        <v>202131021716</v>
      </c>
      <c r="E3723" s="10" t="s">
        <v>27</v>
      </c>
      <c r="F3723" s="6" t="s">
        <v>13</v>
      </c>
      <c r="G3723" s="8">
        <v>68.8</v>
      </c>
      <c r="H3723" s="6"/>
    </row>
    <row r="3724" spans="1:8">
      <c r="A3724" s="5">
        <v>3677</v>
      </c>
      <c r="B3724" s="6" t="str">
        <f>"尹靖"</f>
        <v>尹靖</v>
      </c>
      <c r="C3724" s="6" t="str">
        <f t="shared" si="176"/>
        <v>女</v>
      </c>
      <c r="D3724" s="6" t="str">
        <f>"202131021717"</f>
        <v>202131021717</v>
      </c>
      <c r="E3724" s="10" t="s">
        <v>27</v>
      </c>
      <c r="F3724" s="6" t="s">
        <v>13</v>
      </c>
      <c r="G3724" s="8">
        <v>77.099999999999994</v>
      </c>
      <c r="H3724" s="6"/>
    </row>
    <row r="3725" spans="1:8">
      <c r="A3725" s="5">
        <v>3693</v>
      </c>
      <c r="B3725" s="6" t="str">
        <f>"杨小玲"</f>
        <v>杨小玲</v>
      </c>
      <c r="C3725" s="6" t="str">
        <f t="shared" si="176"/>
        <v>女</v>
      </c>
      <c r="D3725" s="6" t="str">
        <f>"202131021718"</f>
        <v>202131021718</v>
      </c>
      <c r="E3725" s="10" t="s">
        <v>27</v>
      </c>
      <c r="F3725" s="6" t="s">
        <v>13</v>
      </c>
      <c r="G3725" s="8">
        <v>76.7</v>
      </c>
      <c r="H3725" s="6"/>
    </row>
    <row r="3726" spans="1:8">
      <c r="A3726" s="5">
        <v>3618</v>
      </c>
      <c r="B3726" s="6" t="str">
        <f>"周丽莎"</f>
        <v>周丽莎</v>
      </c>
      <c r="C3726" s="6" t="str">
        <f t="shared" si="176"/>
        <v>女</v>
      </c>
      <c r="D3726" s="6" t="str">
        <f>"202131021719"</f>
        <v>202131021719</v>
      </c>
      <c r="E3726" s="10" t="s">
        <v>27</v>
      </c>
      <c r="F3726" s="6" t="s">
        <v>13</v>
      </c>
      <c r="G3726" s="8">
        <v>0</v>
      </c>
      <c r="H3726" s="9">
        <v>1</v>
      </c>
    </row>
    <row r="3727" spans="1:8">
      <c r="A3727" s="5">
        <v>3535</v>
      </c>
      <c r="B3727" s="6" t="str">
        <f>"钟成"</f>
        <v>钟成</v>
      </c>
      <c r="C3727" s="6" t="str">
        <f t="shared" si="176"/>
        <v>女</v>
      </c>
      <c r="D3727" s="6" t="str">
        <f>"202131021720"</f>
        <v>202131021720</v>
      </c>
      <c r="E3727" s="10" t="s">
        <v>27</v>
      </c>
      <c r="F3727" s="6" t="s">
        <v>13</v>
      </c>
      <c r="G3727" s="8">
        <v>0</v>
      </c>
      <c r="H3727" s="9">
        <v>1</v>
      </c>
    </row>
    <row r="3728" spans="1:8">
      <c r="A3728" s="5">
        <v>3629</v>
      </c>
      <c r="B3728" s="6" t="str">
        <f>"郑湘英"</f>
        <v>郑湘英</v>
      </c>
      <c r="C3728" s="6" t="str">
        <f t="shared" si="176"/>
        <v>女</v>
      </c>
      <c r="D3728" s="6" t="str">
        <f>"202131021721"</f>
        <v>202131021721</v>
      </c>
      <c r="E3728" s="10" t="s">
        <v>27</v>
      </c>
      <c r="F3728" s="6" t="s">
        <v>13</v>
      </c>
      <c r="G3728" s="8">
        <v>80.599999999999994</v>
      </c>
      <c r="H3728" s="6"/>
    </row>
    <row r="3729" spans="1:8">
      <c r="A3729" s="5">
        <v>3599</v>
      </c>
      <c r="B3729" s="6" t="str">
        <f>"蒋俊明"</f>
        <v>蒋俊明</v>
      </c>
      <c r="C3729" s="6" t="str">
        <f>"男"</f>
        <v>男</v>
      </c>
      <c r="D3729" s="6" t="str">
        <f>"202131021722"</f>
        <v>202131021722</v>
      </c>
      <c r="E3729" s="10" t="s">
        <v>27</v>
      </c>
      <c r="F3729" s="6" t="s">
        <v>13</v>
      </c>
      <c r="G3729" s="8">
        <v>84.3</v>
      </c>
      <c r="H3729" s="6"/>
    </row>
    <row r="3730" spans="1:8">
      <c r="A3730" s="5">
        <v>3570</v>
      </c>
      <c r="B3730" s="6" t="str">
        <f>"刘婷婷"</f>
        <v>刘婷婷</v>
      </c>
      <c r="C3730" s="6" t="str">
        <f t="shared" ref="C3730:C3761" si="177">"女"</f>
        <v>女</v>
      </c>
      <c r="D3730" s="6" t="str">
        <f>"202131021723"</f>
        <v>202131021723</v>
      </c>
      <c r="E3730" s="10" t="s">
        <v>27</v>
      </c>
      <c r="F3730" s="6" t="s">
        <v>13</v>
      </c>
      <c r="G3730" s="8">
        <v>84.45</v>
      </c>
      <c r="H3730" s="6"/>
    </row>
    <row r="3731" spans="1:8">
      <c r="A3731" s="5">
        <v>3579</v>
      </c>
      <c r="B3731" s="6" t="str">
        <f>"黄丹凤"</f>
        <v>黄丹凤</v>
      </c>
      <c r="C3731" s="6" t="str">
        <f t="shared" si="177"/>
        <v>女</v>
      </c>
      <c r="D3731" s="6" t="str">
        <f>"202131021724"</f>
        <v>202131021724</v>
      </c>
      <c r="E3731" s="10" t="s">
        <v>27</v>
      </c>
      <c r="F3731" s="6" t="s">
        <v>13</v>
      </c>
      <c r="G3731" s="8">
        <v>78.400000000000006</v>
      </c>
      <c r="H3731" s="6"/>
    </row>
    <row r="3732" spans="1:8">
      <c r="A3732" s="5">
        <v>3576</v>
      </c>
      <c r="B3732" s="6" t="str">
        <f>"李娟"</f>
        <v>李娟</v>
      </c>
      <c r="C3732" s="6" t="str">
        <f t="shared" si="177"/>
        <v>女</v>
      </c>
      <c r="D3732" s="6" t="str">
        <f>"202131021725"</f>
        <v>202131021725</v>
      </c>
      <c r="E3732" s="10" t="s">
        <v>27</v>
      </c>
      <c r="F3732" s="6" t="s">
        <v>13</v>
      </c>
      <c r="G3732" s="8">
        <v>66.900000000000006</v>
      </c>
      <c r="H3732" s="6"/>
    </row>
    <row r="3733" spans="1:8">
      <c r="A3733" s="5">
        <v>3655</v>
      </c>
      <c r="B3733" s="6" t="str">
        <f>"夏思思"</f>
        <v>夏思思</v>
      </c>
      <c r="C3733" s="6" t="str">
        <f t="shared" si="177"/>
        <v>女</v>
      </c>
      <c r="D3733" s="6" t="str">
        <f>"202131021726"</f>
        <v>202131021726</v>
      </c>
      <c r="E3733" s="10" t="s">
        <v>27</v>
      </c>
      <c r="F3733" s="6" t="s">
        <v>13</v>
      </c>
      <c r="G3733" s="8">
        <v>81.45</v>
      </c>
      <c r="H3733" s="6"/>
    </row>
    <row r="3734" spans="1:8">
      <c r="A3734" s="5">
        <v>3617</v>
      </c>
      <c r="B3734" s="6" t="str">
        <f>"唐凤"</f>
        <v>唐凤</v>
      </c>
      <c r="C3734" s="6" t="str">
        <f t="shared" si="177"/>
        <v>女</v>
      </c>
      <c r="D3734" s="6" t="str">
        <f>"202131021727"</f>
        <v>202131021727</v>
      </c>
      <c r="E3734" s="10" t="s">
        <v>27</v>
      </c>
      <c r="F3734" s="6" t="s">
        <v>13</v>
      </c>
      <c r="G3734" s="8">
        <v>62.4</v>
      </c>
      <c r="H3734" s="6"/>
    </row>
    <row r="3735" spans="1:8">
      <c r="A3735" s="5">
        <v>3636</v>
      </c>
      <c r="B3735" s="6" t="str">
        <f>"柏月芬"</f>
        <v>柏月芬</v>
      </c>
      <c r="C3735" s="6" t="str">
        <f t="shared" si="177"/>
        <v>女</v>
      </c>
      <c r="D3735" s="6" t="str">
        <f>"202131021728"</f>
        <v>202131021728</v>
      </c>
      <c r="E3735" s="10" t="s">
        <v>27</v>
      </c>
      <c r="F3735" s="6" t="s">
        <v>13</v>
      </c>
      <c r="G3735" s="8">
        <v>83.45</v>
      </c>
      <c r="H3735" s="6"/>
    </row>
    <row r="3736" spans="1:8">
      <c r="A3736" s="5">
        <v>3666</v>
      </c>
      <c r="B3736" s="6" t="str">
        <f>"廖雅倩"</f>
        <v>廖雅倩</v>
      </c>
      <c r="C3736" s="6" t="str">
        <f t="shared" si="177"/>
        <v>女</v>
      </c>
      <c r="D3736" s="6" t="str">
        <f>"202131021729"</f>
        <v>202131021729</v>
      </c>
      <c r="E3736" s="10" t="s">
        <v>27</v>
      </c>
      <c r="F3736" s="6" t="s">
        <v>13</v>
      </c>
      <c r="G3736" s="8">
        <v>85.55</v>
      </c>
      <c r="H3736" s="6"/>
    </row>
    <row r="3737" spans="1:8">
      <c r="A3737" s="5">
        <v>3697</v>
      </c>
      <c r="B3737" s="6" t="str">
        <f>"廖文娟"</f>
        <v>廖文娟</v>
      </c>
      <c r="C3737" s="6" t="str">
        <f t="shared" si="177"/>
        <v>女</v>
      </c>
      <c r="D3737" s="6" t="str">
        <f>"202131021730"</f>
        <v>202131021730</v>
      </c>
      <c r="E3737" s="10" t="s">
        <v>27</v>
      </c>
      <c r="F3737" s="6" t="s">
        <v>13</v>
      </c>
      <c r="G3737" s="8">
        <v>90</v>
      </c>
      <c r="H3737" s="6"/>
    </row>
    <row r="3738" spans="1:8">
      <c r="A3738" s="5">
        <v>3616</v>
      </c>
      <c r="B3738" s="6" t="str">
        <f>"李欣"</f>
        <v>李欣</v>
      </c>
      <c r="C3738" s="6" t="str">
        <f t="shared" si="177"/>
        <v>女</v>
      </c>
      <c r="D3738" s="6" t="str">
        <f>"202131021801"</f>
        <v>202131021801</v>
      </c>
      <c r="E3738" s="10" t="s">
        <v>27</v>
      </c>
      <c r="F3738" s="6" t="s">
        <v>13</v>
      </c>
      <c r="G3738" s="8">
        <v>71.849999999999994</v>
      </c>
      <c r="H3738" s="6"/>
    </row>
    <row r="3739" spans="1:8">
      <c r="A3739" s="5">
        <v>3674</v>
      </c>
      <c r="B3739" s="6" t="str">
        <f>"谢容容"</f>
        <v>谢容容</v>
      </c>
      <c r="C3739" s="6" t="str">
        <f t="shared" si="177"/>
        <v>女</v>
      </c>
      <c r="D3739" s="6" t="str">
        <f>"202131021802"</f>
        <v>202131021802</v>
      </c>
      <c r="E3739" s="10" t="s">
        <v>27</v>
      </c>
      <c r="F3739" s="6" t="s">
        <v>13</v>
      </c>
      <c r="G3739" s="8">
        <v>84.95</v>
      </c>
      <c r="H3739" s="6"/>
    </row>
    <row r="3740" spans="1:8">
      <c r="A3740" s="5">
        <v>3609</v>
      </c>
      <c r="B3740" s="6" t="str">
        <f>"李晓庆"</f>
        <v>李晓庆</v>
      </c>
      <c r="C3740" s="6" t="str">
        <f t="shared" si="177"/>
        <v>女</v>
      </c>
      <c r="D3740" s="6" t="str">
        <f>"202131021803"</f>
        <v>202131021803</v>
      </c>
      <c r="E3740" s="10" t="s">
        <v>27</v>
      </c>
      <c r="F3740" s="6" t="s">
        <v>13</v>
      </c>
      <c r="G3740" s="8">
        <v>78.5</v>
      </c>
      <c r="H3740" s="6"/>
    </row>
    <row r="3741" spans="1:8">
      <c r="A3741" s="5">
        <v>3607</v>
      </c>
      <c r="B3741" s="6" t="str">
        <f>"伍慧玲"</f>
        <v>伍慧玲</v>
      </c>
      <c r="C3741" s="6" t="str">
        <f t="shared" si="177"/>
        <v>女</v>
      </c>
      <c r="D3741" s="6" t="str">
        <f>"202131021804"</f>
        <v>202131021804</v>
      </c>
      <c r="E3741" s="10" t="s">
        <v>27</v>
      </c>
      <c r="F3741" s="6" t="s">
        <v>13</v>
      </c>
      <c r="G3741" s="8">
        <v>90.8</v>
      </c>
      <c r="H3741" s="6"/>
    </row>
    <row r="3742" spans="1:8">
      <c r="A3742" s="5">
        <v>3700</v>
      </c>
      <c r="B3742" s="6" t="str">
        <f>"庾雪艳"</f>
        <v>庾雪艳</v>
      </c>
      <c r="C3742" s="6" t="str">
        <f t="shared" si="177"/>
        <v>女</v>
      </c>
      <c r="D3742" s="6" t="str">
        <f>"202131021805"</f>
        <v>202131021805</v>
      </c>
      <c r="E3742" s="10" t="s">
        <v>27</v>
      </c>
      <c r="F3742" s="6" t="s">
        <v>13</v>
      </c>
      <c r="G3742" s="8">
        <v>85.65</v>
      </c>
      <c r="H3742" s="6"/>
    </row>
    <row r="3743" spans="1:8">
      <c r="A3743" s="5">
        <v>3542</v>
      </c>
      <c r="B3743" s="6" t="str">
        <f>"徐芳琴"</f>
        <v>徐芳琴</v>
      </c>
      <c r="C3743" s="6" t="str">
        <f t="shared" si="177"/>
        <v>女</v>
      </c>
      <c r="D3743" s="6" t="str">
        <f>"202131021806"</f>
        <v>202131021806</v>
      </c>
      <c r="E3743" s="10" t="s">
        <v>27</v>
      </c>
      <c r="F3743" s="6" t="s">
        <v>13</v>
      </c>
      <c r="G3743" s="8">
        <v>88.75</v>
      </c>
      <c r="H3743" s="6"/>
    </row>
    <row r="3744" spans="1:8">
      <c r="A3744" s="5">
        <v>3546</v>
      </c>
      <c r="B3744" s="6" t="str">
        <f>"谢小倩"</f>
        <v>谢小倩</v>
      </c>
      <c r="C3744" s="6" t="str">
        <f t="shared" si="177"/>
        <v>女</v>
      </c>
      <c r="D3744" s="6" t="str">
        <f>"202131021807"</f>
        <v>202131021807</v>
      </c>
      <c r="E3744" s="10" t="s">
        <v>27</v>
      </c>
      <c r="F3744" s="6" t="s">
        <v>13</v>
      </c>
      <c r="G3744" s="8">
        <v>89.2</v>
      </c>
      <c r="H3744" s="6"/>
    </row>
    <row r="3745" spans="1:8">
      <c r="A3745" s="5">
        <v>3680</v>
      </c>
      <c r="B3745" s="6" t="str">
        <f>"黄雯"</f>
        <v>黄雯</v>
      </c>
      <c r="C3745" s="6" t="str">
        <f t="shared" si="177"/>
        <v>女</v>
      </c>
      <c r="D3745" s="6" t="str">
        <f>"202131021808"</f>
        <v>202131021808</v>
      </c>
      <c r="E3745" s="10" t="s">
        <v>27</v>
      </c>
      <c r="F3745" s="6" t="s">
        <v>13</v>
      </c>
      <c r="G3745" s="8">
        <v>82.25</v>
      </c>
      <c r="H3745" s="6"/>
    </row>
    <row r="3746" spans="1:8">
      <c r="A3746" s="5">
        <v>3646</v>
      </c>
      <c r="B3746" s="6" t="str">
        <f>"袁珍玲"</f>
        <v>袁珍玲</v>
      </c>
      <c r="C3746" s="6" t="str">
        <f t="shared" si="177"/>
        <v>女</v>
      </c>
      <c r="D3746" s="6" t="str">
        <f>"202131021809"</f>
        <v>202131021809</v>
      </c>
      <c r="E3746" s="10" t="s">
        <v>27</v>
      </c>
      <c r="F3746" s="6" t="s">
        <v>13</v>
      </c>
      <c r="G3746" s="8">
        <v>71</v>
      </c>
      <c r="H3746" s="6"/>
    </row>
    <row r="3747" spans="1:8">
      <c r="A3747" s="5">
        <v>3688</v>
      </c>
      <c r="B3747" s="6" t="str">
        <f>"黄玉莲"</f>
        <v>黄玉莲</v>
      </c>
      <c r="C3747" s="6" t="str">
        <f t="shared" si="177"/>
        <v>女</v>
      </c>
      <c r="D3747" s="6" t="str">
        <f>"202131021810"</f>
        <v>202131021810</v>
      </c>
      <c r="E3747" s="10" t="s">
        <v>27</v>
      </c>
      <c r="F3747" s="6" t="s">
        <v>13</v>
      </c>
      <c r="G3747" s="8">
        <v>76.3</v>
      </c>
      <c r="H3747" s="6"/>
    </row>
    <row r="3748" spans="1:8">
      <c r="A3748" s="5">
        <v>3594</v>
      </c>
      <c r="B3748" s="6" t="str">
        <f>"胡婷婷"</f>
        <v>胡婷婷</v>
      </c>
      <c r="C3748" s="6" t="str">
        <f t="shared" si="177"/>
        <v>女</v>
      </c>
      <c r="D3748" s="6" t="str">
        <f>"202131021811"</f>
        <v>202131021811</v>
      </c>
      <c r="E3748" s="10" t="s">
        <v>27</v>
      </c>
      <c r="F3748" s="6" t="s">
        <v>13</v>
      </c>
      <c r="G3748" s="8">
        <v>84.95</v>
      </c>
      <c r="H3748" s="6"/>
    </row>
    <row r="3749" spans="1:8">
      <c r="A3749" s="5">
        <v>3682</v>
      </c>
      <c r="B3749" s="6" t="str">
        <f>"黄婷婷"</f>
        <v>黄婷婷</v>
      </c>
      <c r="C3749" s="6" t="str">
        <f t="shared" si="177"/>
        <v>女</v>
      </c>
      <c r="D3749" s="6" t="str">
        <f>"202131021812"</f>
        <v>202131021812</v>
      </c>
      <c r="E3749" s="10" t="s">
        <v>27</v>
      </c>
      <c r="F3749" s="6" t="s">
        <v>13</v>
      </c>
      <c r="G3749" s="8">
        <v>89.35</v>
      </c>
      <c r="H3749" s="6"/>
    </row>
    <row r="3750" spans="1:8">
      <c r="A3750" s="5">
        <v>3586</v>
      </c>
      <c r="B3750" s="6" t="str">
        <f>"曾梦婷"</f>
        <v>曾梦婷</v>
      </c>
      <c r="C3750" s="6" t="str">
        <f t="shared" si="177"/>
        <v>女</v>
      </c>
      <c r="D3750" s="6" t="str">
        <f>"202131021813"</f>
        <v>202131021813</v>
      </c>
      <c r="E3750" s="10" t="s">
        <v>27</v>
      </c>
      <c r="F3750" s="6" t="s">
        <v>13</v>
      </c>
      <c r="G3750" s="8">
        <v>75.45</v>
      </c>
      <c r="H3750" s="6"/>
    </row>
    <row r="3751" spans="1:8">
      <c r="A3751" s="5">
        <v>3669</v>
      </c>
      <c r="B3751" s="6" t="str">
        <f>"乔婧"</f>
        <v>乔婧</v>
      </c>
      <c r="C3751" s="6" t="str">
        <f t="shared" si="177"/>
        <v>女</v>
      </c>
      <c r="D3751" s="6" t="str">
        <f>"202131021814"</f>
        <v>202131021814</v>
      </c>
      <c r="E3751" s="10" t="s">
        <v>27</v>
      </c>
      <c r="F3751" s="6" t="s">
        <v>13</v>
      </c>
      <c r="G3751" s="8">
        <v>84.85</v>
      </c>
      <c r="H3751" s="6"/>
    </row>
    <row r="3752" spans="1:8">
      <c r="A3752" s="5">
        <v>3593</v>
      </c>
      <c r="B3752" s="6" t="str">
        <f>"胡春辉"</f>
        <v>胡春辉</v>
      </c>
      <c r="C3752" s="6" t="str">
        <f t="shared" si="177"/>
        <v>女</v>
      </c>
      <c r="D3752" s="6" t="str">
        <f>"202131021815"</f>
        <v>202131021815</v>
      </c>
      <c r="E3752" s="10" t="s">
        <v>27</v>
      </c>
      <c r="F3752" s="6" t="s">
        <v>13</v>
      </c>
      <c r="G3752" s="8">
        <v>79.5</v>
      </c>
      <c r="H3752" s="6"/>
    </row>
    <row r="3753" spans="1:8">
      <c r="A3753" s="5">
        <v>3650</v>
      </c>
      <c r="B3753" s="6" t="str">
        <f>"刘璐"</f>
        <v>刘璐</v>
      </c>
      <c r="C3753" s="6" t="str">
        <f t="shared" si="177"/>
        <v>女</v>
      </c>
      <c r="D3753" s="6" t="str">
        <f>"202131021816"</f>
        <v>202131021816</v>
      </c>
      <c r="E3753" s="10" t="s">
        <v>27</v>
      </c>
      <c r="F3753" s="6" t="s">
        <v>13</v>
      </c>
      <c r="G3753" s="8">
        <v>63.9</v>
      </c>
      <c r="H3753" s="6"/>
    </row>
    <row r="3754" spans="1:8">
      <c r="A3754" s="5">
        <v>3689</v>
      </c>
      <c r="B3754" s="6" t="str">
        <f>"简文文"</f>
        <v>简文文</v>
      </c>
      <c r="C3754" s="6" t="str">
        <f t="shared" si="177"/>
        <v>女</v>
      </c>
      <c r="D3754" s="6" t="str">
        <f>"202131021817"</f>
        <v>202131021817</v>
      </c>
      <c r="E3754" s="10" t="s">
        <v>27</v>
      </c>
      <c r="F3754" s="6" t="s">
        <v>13</v>
      </c>
      <c r="G3754" s="8">
        <v>0</v>
      </c>
      <c r="H3754" s="9">
        <v>1</v>
      </c>
    </row>
    <row r="3755" spans="1:8">
      <c r="A3755" s="5">
        <v>3613</v>
      </c>
      <c r="B3755" s="6" t="str">
        <f>"郭柳玉"</f>
        <v>郭柳玉</v>
      </c>
      <c r="C3755" s="6" t="str">
        <f t="shared" si="177"/>
        <v>女</v>
      </c>
      <c r="D3755" s="6" t="str">
        <f>"202131021818"</f>
        <v>202131021818</v>
      </c>
      <c r="E3755" s="10" t="s">
        <v>27</v>
      </c>
      <c r="F3755" s="6" t="s">
        <v>13</v>
      </c>
      <c r="G3755" s="8">
        <v>75.599999999999994</v>
      </c>
      <c r="H3755" s="6"/>
    </row>
    <row r="3756" spans="1:8">
      <c r="A3756" s="5">
        <v>3652</v>
      </c>
      <c r="B3756" s="6" t="str">
        <f>"石玉连"</f>
        <v>石玉连</v>
      </c>
      <c r="C3756" s="6" t="str">
        <f t="shared" si="177"/>
        <v>女</v>
      </c>
      <c r="D3756" s="6" t="str">
        <f>"202131021819"</f>
        <v>202131021819</v>
      </c>
      <c r="E3756" s="10" t="s">
        <v>27</v>
      </c>
      <c r="F3756" s="6" t="s">
        <v>13</v>
      </c>
      <c r="G3756" s="8">
        <v>78.900000000000006</v>
      </c>
      <c r="H3756" s="6"/>
    </row>
    <row r="3757" spans="1:8">
      <c r="A3757" s="5">
        <v>3651</v>
      </c>
      <c r="B3757" s="6" t="str">
        <f>"刘香池"</f>
        <v>刘香池</v>
      </c>
      <c r="C3757" s="6" t="str">
        <f t="shared" si="177"/>
        <v>女</v>
      </c>
      <c r="D3757" s="6" t="str">
        <f>"202131021820"</f>
        <v>202131021820</v>
      </c>
      <c r="E3757" s="10" t="s">
        <v>27</v>
      </c>
      <c r="F3757" s="6" t="s">
        <v>13</v>
      </c>
      <c r="G3757" s="8">
        <v>70.3</v>
      </c>
      <c r="H3757" s="6"/>
    </row>
    <row r="3758" spans="1:8">
      <c r="A3758" s="5">
        <v>3671</v>
      </c>
      <c r="B3758" s="6" t="str">
        <f>"谢文学"</f>
        <v>谢文学</v>
      </c>
      <c r="C3758" s="6" t="str">
        <f t="shared" si="177"/>
        <v>女</v>
      </c>
      <c r="D3758" s="6" t="str">
        <f>"202131021821"</f>
        <v>202131021821</v>
      </c>
      <c r="E3758" s="10" t="s">
        <v>27</v>
      </c>
      <c r="F3758" s="6" t="s">
        <v>13</v>
      </c>
      <c r="G3758" s="8">
        <v>83.6</v>
      </c>
      <c r="H3758" s="6"/>
    </row>
    <row r="3759" spans="1:8">
      <c r="A3759" s="5">
        <v>3602</v>
      </c>
      <c r="B3759" s="6" t="str">
        <f>"余楚玉"</f>
        <v>余楚玉</v>
      </c>
      <c r="C3759" s="6" t="str">
        <f t="shared" si="177"/>
        <v>女</v>
      </c>
      <c r="D3759" s="6" t="str">
        <f>"202131021822"</f>
        <v>202131021822</v>
      </c>
      <c r="E3759" s="10" t="s">
        <v>27</v>
      </c>
      <c r="F3759" s="6" t="s">
        <v>13</v>
      </c>
      <c r="G3759" s="8">
        <v>74.7</v>
      </c>
      <c r="H3759" s="6"/>
    </row>
    <row r="3760" spans="1:8">
      <c r="A3760" s="5">
        <v>3659</v>
      </c>
      <c r="B3760" s="6" t="str">
        <f>"姜红艳"</f>
        <v>姜红艳</v>
      </c>
      <c r="C3760" s="6" t="str">
        <f t="shared" si="177"/>
        <v>女</v>
      </c>
      <c r="D3760" s="6" t="str">
        <f>"202131021823"</f>
        <v>202131021823</v>
      </c>
      <c r="E3760" s="10" t="s">
        <v>27</v>
      </c>
      <c r="F3760" s="6" t="s">
        <v>13</v>
      </c>
      <c r="G3760" s="8">
        <v>87.85</v>
      </c>
      <c r="H3760" s="6"/>
    </row>
    <row r="3761" spans="1:8">
      <c r="A3761" s="5">
        <v>3572</v>
      </c>
      <c r="B3761" s="6" t="str">
        <f>"王珊珊"</f>
        <v>王珊珊</v>
      </c>
      <c r="C3761" s="6" t="str">
        <f t="shared" si="177"/>
        <v>女</v>
      </c>
      <c r="D3761" s="6" t="str">
        <f>"202131021824"</f>
        <v>202131021824</v>
      </c>
      <c r="E3761" s="10" t="s">
        <v>27</v>
      </c>
      <c r="F3761" s="6" t="s">
        <v>13</v>
      </c>
      <c r="G3761" s="8">
        <v>83.95</v>
      </c>
      <c r="H3761" s="6"/>
    </row>
    <row r="3762" spans="1:8">
      <c r="A3762" s="5">
        <v>3591</v>
      </c>
      <c r="B3762" s="6" t="str">
        <f>"谭萍"</f>
        <v>谭萍</v>
      </c>
      <c r="C3762" s="6" t="str">
        <f t="shared" ref="C3762:C3785" si="178">"女"</f>
        <v>女</v>
      </c>
      <c r="D3762" s="6" t="str">
        <f>"202131021825"</f>
        <v>202131021825</v>
      </c>
      <c r="E3762" s="10" t="s">
        <v>27</v>
      </c>
      <c r="F3762" s="6" t="s">
        <v>13</v>
      </c>
      <c r="G3762" s="8">
        <v>81.5</v>
      </c>
      <c r="H3762" s="6"/>
    </row>
    <row r="3763" spans="1:8">
      <c r="A3763" s="5">
        <v>3638</v>
      </c>
      <c r="B3763" s="6" t="str">
        <f>"石英"</f>
        <v>石英</v>
      </c>
      <c r="C3763" s="6" t="str">
        <f t="shared" si="178"/>
        <v>女</v>
      </c>
      <c r="D3763" s="6" t="str">
        <f>"202131021826"</f>
        <v>202131021826</v>
      </c>
      <c r="E3763" s="10" t="s">
        <v>27</v>
      </c>
      <c r="F3763" s="6" t="s">
        <v>13</v>
      </c>
      <c r="G3763" s="8">
        <v>72.95</v>
      </c>
      <c r="H3763" s="6"/>
    </row>
    <row r="3764" spans="1:8">
      <c r="A3764" s="5">
        <v>3538</v>
      </c>
      <c r="B3764" s="6" t="str">
        <f>"郭丹"</f>
        <v>郭丹</v>
      </c>
      <c r="C3764" s="6" t="str">
        <f t="shared" si="178"/>
        <v>女</v>
      </c>
      <c r="D3764" s="6" t="str">
        <f>"202131021827"</f>
        <v>202131021827</v>
      </c>
      <c r="E3764" s="10" t="s">
        <v>27</v>
      </c>
      <c r="F3764" s="6" t="s">
        <v>13</v>
      </c>
      <c r="G3764" s="8">
        <v>0</v>
      </c>
      <c r="H3764" s="9">
        <v>1</v>
      </c>
    </row>
    <row r="3765" spans="1:8">
      <c r="A3765" s="5">
        <v>3530</v>
      </c>
      <c r="B3765" s="6" t="str">
        <f>"林唤"</f>
        <v>林唤</v>
      </c>
      <c r="C3765" s="6" t="str">
        <f t="shared" si="178"/>
        <v>女</v>
      </c>
      <c r="D3765" s="6" t="str">
        <f>"202131021828"</f>
        <v>202131021828</v>
      </c>
      <c r="E3765" s="10" t="s">
        <v>27</v>
      </c>
      <c r="F3765" s="6" t="s">
        <v>13</v>
      </c>
      <c r="G3765" s="8">
        <v>0</v>
      </c>
      <c r="H3765" s="9">
        <v>1</v>
      </c>
    </row>
    <row r="3766" spans="1:8">
      <c r="A3766" s="5">
        <v>3595</v>
      </c>
      <c r="B3766" s="6" t="str">
        <f>"姚瑶"</f>
        <v>姚瑶</v>
      </c>
      <c r="C3766" s="6" t="str">
        <f t="shared" si="178"/>
        <v>女</v>
      </c>
      <c r="D3766" s="6" t="str">
        <f>"202131021829"</f>
        <v>202131021829</v>
      </c>
      <c r="E3766" s="10" t="s">
        <v>27</v>
      </c>
      <c r="F3766" s="6" t="s">
        <v>13</v>
      </c>
      <c r="G3766" s="8">
        <v>0</v>
      </c>
      <c r="H3766" s="9">
        <v>1</v>
      </c>
    </row>
    <row r="3767" spans="1:8">
      <c r="A3767" s="5">
        <v>3699</v>
      </c>
      <c r="B3767" s="6" t="str">
        <f>"陈姗姗"</f>
        <v>陈姗姗</v>
      </c>
      <c r="C3767" s="6" t="str">
        <f t="shared" si="178"/>
        <v>女</v>
      </c>
      <c r="D3767" s="6" t="str">
        <f>"202131021830"</f>
        <v>202131021830</v>
      </c>
      <c r="E3767" s="10" t="s">
        <v>27</v>
      </c>
      <c r="F3767" s="6" t="s">
        <v>13</v>
      </c>
      <c r="G3767" s="8">
        <v>75.150000000000006</v>
      </c>
      <c r="H3767" s="6"/>
    </row>
    <row r="3768" spans="1:8">
      <c r="A3768" s="5">
        <v>3642</v>
      </c>
      <c r="B3768" s="6" t="str">
        <f>"刘翔"</f>
        <v>刘翔</v>
      </c>
      <c r="C3768" s="6" t="str">
        <f t="shared" si="178"/>
        <v>女</v>
      </c>
      <c r="D3768" s="6" t="str">
        <f>"202131021901"</f>
        <v>202131021901</v>
      </c>
      <c r="E3768" s="10" t="s">
        <v>27</v>
      </c>
      <c r="F3768" s="6" t="s">
        <v>13</v>
      </c>
      <c r="G3768" s="8">
        <v>83.9</v>
      </c>
      <c r="H3768" s="6"/>
    </row>
    <row r="3769" spans="1:8">
      <c r="A3769" s="5">
        <v>3560</v>
      </c>
      <c r="B3769" s="6" t="str">
        <f>"杨细纷"</f>
        <v>杨细纷</v>
      </c>
      <c r="C3769" s="6" t="str">
        <f t="shared" si="178"/>
        <v>女</v>
      </c>
      <c r="D3769" s="6" t="str">
        <f>"202131021902"</f>
        <v>202131021902</v>
      </c>
      <c r="E3769" s="10" t="s">
        <v>27</v>
      </c>
      <c r="F3769" s="6" t="s">
        <v>13</v>
      </c>
      <c r="G3769" s="8">
        <v>82.3</v>
      </c>
      <c r="H3769" s="6"/>
    </row>
    <row r="3770" spans="1:8">
      <c r="A3770" s="5">
        <v>3528</v>
      </c>
      <c r="B3770" s="6" t="str">
        <f>"王琴琴"</f>
        <v>王琴琴</v>
      </c>
      <c r="C3770" s="6" t="str">
        <f t="shared" si="178"/>
        <v>女</v>
      </c>
      <c r="D3770" s="6" t="str">
        <f>"202131021903"</f>
        <v>202131021903</v>
      </c>
      <c r="E3770" s="10" t="s">
        <v>27</v>
      </c>
      <c r="F3770" s="6" t="s">
        <v>13</v>
      </c>
      <c r="G3770" s="8">
        <v>84.25</v>
      </c>
      <c r="H3770" s="6"/>
    </row>
    <row r="3771" spans="1:8">
      <c r="A3771" s="5">
        <v>3690</v>
      </c>
      <c r="B3771" s="6" t="str">
        <f>"周燕梅"</f>
        <v>周燕梅</v>
      </c>
      <c r="C3771" s="6" t="str">
        <f t="shared" si="178"/>
        <v>女</v>
      </c>
      <c r="D3771" s="6" t="str">
        <f>"202131021904"</f>
        <v>202131021904</v>
      </c>
      <c r="E3771" s="10" t="s">
        <v>27</v>
      </c>
      <c r="F3771" s="6" t="s">
        <v>13</v>
      </c>
      <c r="G3771" s="8">
        <v>77.7</v>
      </c>
      <c r="H3771" s="6"/>
    </row>
    <row r="3772" spans="1:8">
      <c r="A3772" s="5">
        <v>3621</v>
      </c>
      <c r="B3772" s="6" t="str">
        <f>"肖芊"</f>
        <v>肖芊</v>
      </c>
      <c r="C3772" s="6" t="str">
        <f t="shared" si="178"/>
        <v>女</v>
      </c>
      <c r="D3772" s="6" t="str">
        <f>"202131021905"</f>
        <v>202131021905</v>
      </c>
      <c r="E3772" s="10" t="s">
        <v>27</v>
      </c>
      <c r="F3772" s="6" t="s">
        <v>13</v>
      </c>
      <c r="G3772" s="8">
        <v>0</v>
      </c>
      <c r="H3772" s="9">
        <v>1</v>
      </c>
    </row>
    <row r="3773" spans="1:8">
      <c r="A3773" s="5">
        <v>3704</v>
      </c>
      <c r="B3773" s="6" t="str">
        <f>"王晏"</f>
        <v>王晏</v>
      </c>
      <c r="C3773" s="6" t="str">
        <f t="shared" si="178"/>
        <v>女</v>
      </c>
      <c r="D3773" s="6" t="str">
        <f>"202131021906"</f>
        <v>202131021906</v>
      </c>
      <c r="E3773" s="10" t="s">
        <v>27</v>
      </c>
      <c r="F3773" s="6" t="s">
        <v>13</v>
      </c>
      <c r="G3773" s="8">
        <v>81.75</v>
      </c>
      <c r="H3773" s="6"/>
    </row>
    <row r="3774" spans="1:8">
      <c r="A3774" s="5">
        <v>3587</v>
      </c>
      <c r="B3774" s="6" t="str">
        <f>"胡佳忆"</f>
        <v>胡佳忆</v>
      </c>
      <c r="C3774" s="6" t="str">
        <f t="shared" si="178"/>
        <v>女</v>
      </c>
      <c r="D3774" s="6" t="str">
        <f>"202131021907"</f>
        <v>202131021907</v>
      </c>
      <c r="E3774" s="10" t="s">
        <v>27</v>
      </c>
      <c r="F3774" s="6" t="s">
        <v>13</v>
      </c>
      <c r="G3774" s="8">
        <v>85.85</v>
      </c>
      <c r="H3774" s="6"/>
    </row>
    <row r="3775" spans="1:8">
      <c r="A3775" s="5">
        <v>3667</v>
      </c>
      <c r="B3775" s="6" t="str">
        <f>"曾如新"</f>
        <v>曾如新</v>
      </c>
      <c r="C3775" s="6" t="str">
        <f t="shared" si="178"/>
        <v>女</v>
      </c>
      <c r="D3775" s="6" t="str">
        <f>"202131021908"</f>
        <v>202131021908</v>
      </c>
      <c r="E3775" s="10" t="s">
        <v>27</v>
      </c>
      <c r="F3775" s="6" t="s">
        <v>13</v>
      </c>
      <c r="G3775" s="8">
        <v>78</v>
      </c>
      <c r="H3775" s="6"/>
    </row>
    <row r="3776" spans="1:8">
      <c r="A3776" s="5">
        <v>3628</v>
      </c>
      <c r="B3776" s="6" t="str">
        <f>"李小晖"</f>
        <v>李小晖</v>
      </c>
      <c r="C3776" s="6" t="str">
        <f t="shared" si="178"/>
        <v>女</v>
      </c>
      <c r="D3776" s="6" t="str">
        <f>"202131021909"</f>
        <v>202131021909</v>
      </c>
      <c r="E3776" s="10" t="s">
        <v>27</v>
      </c>
      <c r="F3776" s="6" t="s">
        <v>13</v>
      </c>
      <c r="G3776" s="8">
        <v>88.3</v>
      </c>
      <c r="H3776" s="6"/>
    </row>
    <row r="3777" spans="1:8">
      <c r="A3777" s="5">
        <v>3526</v>
      </c>
      <c r="B3777" s="6" t="str">
        <f>"肖倩"</f>
        <v>肖倩</v>
      </c>
      <c r="C3777" s="6" t="str">
        <f t="shared" si="178"/>
        <v>女</v>
      </c>
      <c r="D3777" s="6" t="str">
        <f>"202131021910"</f>
        <v>202131021910</v>
      </c>
      <c r="E3777" s="10" t="s">
        <v>27</v>
      </c>
      <c r="F3777" s="6" t="s">
        <v>13</v>
      </c>
      <c r="G3777" s="8">
        <v>85.05</v>
      </c>
      <c r="H3777" s="6"/>
    </row>
    <row r="3778" spans="1:8">
      <c r="A3778" s="5">
        <v>3573</v>
      </c>
      <c r="B3778" s="6" t="str">
        <f>"贺小娟"</f>
        <v>贺小娟</v>
      </c>
      <c r="C3778" s="6" t="str">
        <f t="shared" si="178"/>
        <v>女</v>
      </c>
      <c r="D3778" s="6" t="str">
        <f>"202131021911"</f>
        <v>202131021911</v>
      </c>
      <c r="E3778" s="10" t="s">
        <v>27</v>
      </c>
      <c r="F3778" s="6" t="s">
        <v>13</v>
      </c>
      <c r="G3778" s="8">
        <v>85</v>
      </c>
      <c r="H3778" s="6"/>
    </row>
    <row r="3779" spans="1:8">
      <c r="A3779" s="5">
        <v>3678</v>
      </c>
      <c r="B3779" s="6" t="str">
        <f>"伍杏"</f>
        <v>伍杏</v>
      </c>
      <c r="C3779" s="6" t="str">
        <f t="shared" si="178"/>
        <v>女</v>
      </c>
      <c r="D3779" s="6" t="str">
        <f>"202131021912"</f>
        <v>202131021912</v>
      </c>
      <c r="E3779" s="10" t="s">
        <v>27</v>
      </c>
      <c r="F3779" s="6" t="s">
        <v>13</v>
      </c>
      <c r="G3779" s="8">
        <v>80.849999999999994</v>
      </c>
      <c r="H3779" s="6"/>
    </row>
    <row r="3780" spans="1:8">
      <c r="A3780" s="5">
        <v>3649</v>
      </c>
      <c r="B3780" s="6" t="str">
        <f>"高颖颖"</f>
        <v>高颖颖</v>
      </c>
      <c r="C3780" s="6" t="str">
        <f t="shared" si="178"/>
        <v>女</v>
      </c>
      <c r="D3780" s="6" t="str">
        <f>"202131021913"</f>
        <v>202131021913</v>
      </c>
      <c r="E3780" s="10" t="s">
        <v>27</v>
      </c>
      <c r="F3780" s="6" t="s">
        <v>13</v>
      </c>
      <c r="G3780" s="8">
        <v>74.650000000000006</v>
      </c>
      <c r="H3780" s="6"/>
    </row>
    <row r="3781" spans="1:8">
      <c r="A3781" s="5">
        <v>3644</v>
      </c>
      <c r="B3781" s="6" t="str">
        <f>"王玲玉"</f>
        <v>王玲玉</v>
      </c>
      <c r="C3781" s="6" t="str">
        <f t="shared" si="178"/>
        <v>女</v>
      </c>
      <c r="D3781" s="6" t="str">
        <f>"202131021914"</f>
        <v>202131021914</v>
      </c>
      <c r="E3781" s="10" t="s">
        <v>27</v>
      </c>
      <c r="F3781" s="6" t="s">
        <v>13</v>
      </c>
      <c r="G3781" s="8">
        <v>81.25</v>
      </c>
      <c r="H3781" s="6"/>
    </row>
    <row r="3782" spans="1:8">
      <c r="A3782" s="5">
        <v>3575</v>
      </c>
      <c r="B3782" s="6" t="str">
        <f>"包娜"</f>
        <v>包娜</v>
      </c>
      <c r="C3782" s="6" t="str">
        <f t="shared" si="178"/>
        <v>女</v>
      </c>
      <c r="D3782" s="6" t="str">
        <f>"202131021915"</f>
        <v>202131021915</v>
      </c>
      <c r="E3782" s="10" t="s">
        <v>27</v>
      </c>
      <c r="F3782" s="6" t="s">
        <v>13</v>
      </c>
      <c r="G3782" s="8">
        <v>76.849999999999994</v>
      </c>
      <c r="H3782" s="6"/>
    </row>
    <row r="3783" spans="1:8">
      <c r="A3783" s="5">
        <v>3668</v>
      </c>
      <c r="B3783" s="6" t="str">
        <f>"刘春梅"</f>
        <v>刘春梅</v>
      </c>
      <c r="C3783" s="6" t="str">
        <f t="shared" si="178"/>
        <v>女</v>
      </c>
      <c r="D3783" s="6" t="str">
        <f>"202131021916"</f>
        <v>202131021916</v>
      </c>
      <c r="E3783" s="10" t="s">
        <v>27</v>
      </c>
      <c r="F3783" s="6" t="s">
        <v>13</v>
      </c>
      <c r="G3783" s="8">
        <v>77.400000000000006</v>
      </c>
      <c r="H3783" s="6"/>
    </row>
    <row r="3784" spans="1:8">
      <c r="A3784" s="5">
        <v>3557</v>
      </c>
      <c r="B3784" s="6" t="str">
        <f>"邓丽"</f>
        <v>邓丽</v>
      </c>
      <c r="C3784" s="6" t="str">
        <f t="shared" si="178"/>
        <v>女</v>
      </c>
      <c r="D3784" s="6" t="str">
        <f>"202131021917"</f>
        <v>202131021917</v>
      </c>
      <c r="E3784" s="10" t="s">
        <v>27</v>
      </c>
      <c r="F3784" s="6" t="s">
        <v>13</v>
      </c>
      <c r="G3784" s="8">
        <v>0</v>
      </c>
      <c r="H3784" s="9">
        <v>1</v>
      </c>
    </row>
    <row r="3785" spans="1:8">
      <c r="A3785" s="5">
        <v>3635</v>
      </c>
      <c r="B3785" s="6" t="str">
        <f>"戴诗"</f>
        <v>戴诗</v>
      </c>
      <c r="C3785" s="6" t="str">
        <f t="shared" si="178"/>
        <v>女</v>
      </c>
      <c r="D3785" s="6" t="str">
        <f>"202131021918"</f>
        <v>202131021918</v>
      </c>
      <c r="E3785" s="10" t="s">
        <v>27</v>
      </c>
      <c r="F3785" s="6" t="s">
        <v>13</v>
      </c>
      <c r="G3785" s="8">
        <v>79.900000000000006</v>
      </c>
      <c r="H3785" s="6"/>
    </row>
    <row r="3786" spans="1:8">
      <c r="A3786" s="5">
        <v>3656</v>
      </c>
      <c r="B3786" s="6" t="str">
        <f>"何青"</f>
        <v>何青</v>
      </c>
      <c r="C3786" s="6" t="str">
        <f>"男"</f>
        <v>男</v>
      </c>
      <c r="D3786" s="6" t="str">
        <f>"202131021919"</f>
        <v>202131021919</v>
      </c>
      <c r="E3786" s="10" t="s">
        <v>27</v>
      </c>
      <c r="F3786" s="6" t="s">
        <v>13</v>
      </c>
      <c r="G3786" s="8">
        <v>85.05</v>
      </c>
      <c r="H3786" s="6"/>
    </row>
    <row r="3787" spans="1:8">
      <c r="A3787" s="5">
        <v>3615</v>
      </c>
      <c r="B3787" s="6" t="str">
        <f>"李聪"</f>
        <v>李聪</v>
      </c>
      <c r="C3787" s="6" t="str">
        <f>"女"</f>
        <v>女</v>
      </c>
      <c r="D3787" s="6" t="str">
        <f>"202131021920"</f>
        <v>202131021920</v>
      </c>
      <c r="E3787" s="10" t="s">
        <v>27</v>
      </c>
      <c r="F3787" s="6" t="s">
        <v>13</v>
      </c>
      <c r="G3787" s="8">
        <v>76.900000000000006</v>
      </c>
      <c r="H3787" s="6"/>
    </row>
    <row r="3788" spans="1:8">
      <c r="A3788" s="5">
        <v>3536</v>
      </c>
      <c r="B3788" s="6" t="str">
        <f>"刘芬"</f>
        <v>刘芬</v>
      </c>
      <c r="C3788" s="6" t="str">
        <f>"女"</f>
        <v>女</v>
      </c>
      <c r="D3788" s="6" t="str">
        <f>"202131021921"</f>
        <v>202131021921</v>
      </c>
      <c r="E3788" s="10" t="s">
        <v>27</v>
      </c>
      <c r="F3788" s="6" t="s">
        <v>13</v>
      </c>
      <c r="G3788" s="8">
        <v>80.3</v>
      </c>
      <c r="H3788" s="6"/>
    </row>
    <row r="3789" spans="1:8">
      <c r="A3789" s="5">
        <v>3622</v>
      </c>
      <c r="B3789" s="6" t="str">
        <f>"银城"</f>
        <v>银城</v>
      </c>
      <c r="C3789" s="6" t="str">
        <f>"女"</f>
        <v>女</v>
      </c>
      <c r="D3789" s="6" t="str">
        <f>"202131021922"</f>
        <v>202131021922</v>
      </c>
      <c r="E3789" s="10" t="s">
        <v>27</v>
      </c>
      <c r="F3789" s="6" t="s">
        <v>13</v>
      </c>
      <c r="G3789" s="8">
        <v>78.55</v>
      </c>
      <c r="H3789" s="6"/>
    </row>
    <row r="3790" spans="1:8">
      <c r="A3790" s="5">
        <v>3703</v>
      </c>
      <c r="B3790" s="6" t="str">
        <f>"彭子慧"</f>
        <v>彭子慧</v>
      </c>
      <c r="C3790" s="6" t="str">
        <f>"女"</f>
        <v>女</v>
      </c>
      <c r="D3790" s="6" t="str">
        <f>"202131021923"</f>
        <v>202131021923</v>
      </c>
      <c r="E3790" s="10" t="s">
        <v>27</v>
      </c>
      <c r="F3790" s="6" t="s">
        <v>13</v>
      </c>
      <c r="G3790" s="8">
        <v>0</v>
      </c>
      <c r="H3790" s="9">
        <v>1</v>
      </c>
    </row>
    <row r="3791" spans="1:8">
      <c r="A3791" s="5">
        <v>3545</v>
      </c>
      <c r="B3791" s="6" t="str">
        <f>"杨程"</f>
        <v>杨程</v>
      </c>
      <c r="C3791" s="6" t="str">
        <f>"女"</f>
        <v>女</v>
      </c>
      <c r="D3791" s="6" t="str">
        <f>"202131021924"</f>
        <v>202131021924</v>
      </c>
      <c r="E3791" s="10" t="s">
        <v>27</v>
      </c>
      <c r="F3791" s="6" t="s">
        <v>13</v>
      </c>
      <c r="G3791" s="8">
        <v>75.55</v>
      </c>
      <c r="H3791" s="6"/>
    </row>
    <row r="3792" spans="1:8">
      <c r="A3792" s="5">
        <v>3676</v>
      </c>
      <c r="B3792" s="6" t="str">
        <f>"刘武"</f>
        <v>刘武</v>
      </c>
      <c r="C3792" s="6" t="str">
        <f>"男"</f>
        <v>男</v>
      </c>
      <c r="D3792" s="6" t="str">
        <f>"202131021925"</f>
        <v>202131021925</v>
      </c>
      <c r="E3792" s="10" t="s">
        <v>27</v>
      </c>
      <c r="F3792" s="6" t="s">
        <v>13</v>
      </c>
      <c r="G3792" s="8">
        <v>80.7</v>
      </c>
      <c r="H3792" s="6"/>
    </row>
    <row r="3793" spans="1:8">
      <c r="A3793" s="5">
        <v>3583</v>
      </c>
      <c r="B3793" s="6" t="str">
        <f>"李慧"</f>
        <v>李慧</v>
      </c>
      <c r="C3793" s="6" t="str">
        <f>"女"</f>
        <v>女</v>
      </c>
      <c r="D3793" s="6" t="str">
        <f>"202131021926"</f>
        <v>202131021926</v>
      </c>
      <c r="E3793" s="10" t="s">
        <v>27</v>
      </c>
      <c r="F3793" s="6" t="s">
        <v>13</v>
      </c>
      <c r="G3793" s="8">
        <v>86.8</v>
      </c>
      <c r="H3793" s="6"/>
    </row>
    <row r="3794" spans="1:8">
      <c r="A3794" s="5">
        <v>3657</v>
      </c>
      <c r="B3794" s="6" t="str">
        <f>"周画"</f>
        <v>周画</v>
      </c>
      <c r="C3794" s="6" t="str">
        <f>"女"</f>
        <v>女</v>
      </c>
      <c r="D3794" s="6" t="str">
        <f>"202131021927"</f>
        <v>202131021927</v>
      </c>
      <c r="E3794" s="10" t="s">
        <v>27</v>
      </c>
      <c r="F3794" s="6" t="s">
        <v>13</v>
      </c>
      <c r="G3794" s="8">
        <v>79.8</v>
      </c>
      <c r="H3794" s="6"/>
    </row>
    <row r="3795" spans="1:8">
      <c r="A3795" s="5">
        <v>3574</v>
      </c>
      <c r="B3795" s="6" t="str">
        <f>"李玲琳"</f>
        <v>李玲琳</v>
      </c>
      <c r="C3795" s="6" t="str">
        <f>"女"</f>
        <v>女</v>
      </c>
      <c r="D3795" s="6" t="str">
        <f>"202131021928"</f>
        <v>202131021928</v>
      </c>
      <c r="E3795" s="10" t="s">
        <v>27</v>
      </c>
      <c r="F3795" s="6" t="s">
        <v>13</v>
      </c>
      <c r="G3795" s="8">
        <v>83.8</v>
      </c>
      <c r="H3795" s="6"/>
    </row>
    <row r="3796" spans="1:8">
      <c r="A3796" s="5">
        <v>3675</v>
      </c>
      <c r="B3796" s="6" t="str">
        <f>"范宁"</f>
        <v>范宁</v>
      </c>
      <c r="C3796" s="6" t="str">
        <f>"女"</f>
        <v>女</v>
      </c>
      <c r="D3796" s="6" t="str">
        <f>"202131021929"</f>
        <v>202131021929</v>
      </c>
      <c r="E3796" s="10" t="s">
        <v>27</v>
      </c>
      <c r="F3796" s="6" t="s">
        <v>13</v>
      </c>
      <c r="G3796" s="8">
        <v>80.099999999999994</v>
      </c>
      <c r="H3796" s="6"/>
    </row>
    <row r="3797" spans="1:8">
      <c r="A3797" s="5">
        <v>3608</v>
      </c>
      <c r="B3797" s="6" t="str">
        <f>"肖谢壹"</f>
        <v>肖谢壹</v>
      </c>
      <c r="C3797" s="6" t="str">
        <f>"男"</f>
        <v>男</v>
      </c>
      <c r="D3797" s="6" t="str">
        <f>"202131021930"</f>
        <v>202131021930</v>
      </c>
      <c r="E3797" s="10" t="s">
        <v>27</v>
      </c>
      <c r="F3797" s="6" t="s">
        <v>13</v>
      </c>
      <c r="G3797" s="8">
        <v>0</v>
      </c>
      <c r="H3797" s="9">
        <v>1</v>
      </c>
    </row>
    <row r="3798" spans="1:8">
      <c r="A3798" s="5">
        <v>3695</v>
      </c>
      <c r="B3798" s="6" t="str">
        <f>"李雪"</f>
        <v>李雪</v>
      </c>
      <c r="C3798" s="6" t="str">
        <f t="shared" ref="C3798:C3829" si="179">"女"</f>
        <v>女</v>
      </c>
      <c r="D3798" s="6" t="str">
        <f>"202131022001"</f>
        <v>202131022001</v>
      </c>
      <c r="E3798" s="10" t="s">
        <v>27</v>
      </c>
      <c r="F3798" s="6" t="s">
        <v>13</v>
      </c>
      <c r="G3798" s="8">
        <v>88.25</v>
      </c>
      <c r="H3798" s="6"/>
    </row>
    <row r="3799" spans="1:8">
      <c r="A3799" s="5">
        <v>3705</v>
      </c>
      <c r="B3799" s="6" t="str">
        <f>"宋林丽"</f>
        <v>宋林丽</v>
      </c>
      <c r="C3799" s="6" t="str">
        <f t="shared" si="179"/>
        <v>女</v>
      </c>
      <c r="D3799" s="6" t="str">
        <f>"202131022002"</f>
        <v>202131022002</v>
      </c>
      <c r="E3799" s="10" t="s">
        <v>27</v>
      </c>
      <c r="F3799" s="6" t="s">
        <v>13</v>
      </c>
      <c r="G3799" s="8">
        <v>91.15</v>
      </c>
      <c r="H3799" s="6"/>
    </row>
    <row r="3800" spans="1:8">
      <c r="A3800" s="5">
        <v>3610</v>
      </c>
      <c r="B3800" s="6" t="str">
        <f>"王倩"</f>
        <v>王倩</v>
      </c>
      <c r="C3800" s="6" t="str">
        <f t="shared" si="179"/>
        <v>女</v>
      </c>
      <c r="D3800" s="6" t="str">
        <f>"202131022003"</f>
        <v>202131022003</v>
      </c>
      <c r="E3800" s="10" t="s">
        <v>27</v>
      </c>
      <c r="F3800" s="6" t="s">
        <v>13</v>
      </c>
      <c r="G3800" s="8">
        <v>84.35</v>
      </c>
      <c r="H3800" s="6"/>
    </row>
    <row r="3801" spans="1:8">
      <c r="A3801" s="5">
        <v>3670</v>
      </c>
      <c r="B3801" s="6" t="str">
        <f>"丁心丽"</f>
        <v>丁心丽</v>
      </c>
      <c r="C3801" s="6" t="str">
        <f t="shared" si="179"/>
        <v>女</v>
      </c>
      <c r="D3801" s="6" t="str">
        <f>"202131022004"</f>
        <v>202131022004</v>
      </c>
      <c r="E3801" s="10" t="s">
        <v>27</v>
      </c>
      <c r="F3801" s="6" t="s">
        <v>13</v>
      </c>
      <c r="G3801" s="8">
        <v>79.25</v>
      </c>
      <c r="H3801" s="6"/>
    </row>
    <row r="3802" spans="1:8">
      <c r="A3802" s="5">
        <v>3597</v>
      </c>
      <c r="B3802" s="6" t="str">
        <f>"兰卫萍"</f>
        <v>兰卫萍</v>
      </c>
      <c r="C3802" s="6" t="str">
        <f t="shared" si="179"/>
        <v>女</v>
      </c>
      <c r="D3802" s="6" t="str">
        <f>"202131022005"</f>
        <v>202131022005</v>
      </c>
      <c r="E3802" s="10" t="s">
        <v>27</v>
      </c>
      <c r="F3802" s="6" t="s">
        <v>13</v>
      </c>
      <c r="G3802" s="8">
        <v>86.25</v>
      </c>
      <c r="H3802" s="6"/>
    </row>
    <row r="3803" spans="1:8">
      <c r="A3803" s="5">
        <v>3578</v>
      </c>
      <c r="B3803" s="6" t="str">
        <f>"龙玉璋"</f>
        <v>龙玉璋</v>
      </c>
      <c r="C3803" s="6" t="str">
        <f t="shared" si="179"/>
        <v>女</v>
      </c>
      <c r="D3803" s="6" t="str">
        <f>"202131022006"</f>
        <v>202131022006</v>
      </c>
      <c r="E3803" s="10" t="s">
        <v>27</v>
      </c>
      <c r="F3803" s="6" t="s">
        <v>13</v>
      </c>
      <c r="G3803" s="8">
        <v>0</v>
      </c>
      <c r="H3803" s="6"/>
    </row>
    <row r="3804" spans="1:8">
      <c r="A3804" s="5">
        <v>3687</v>
      </c>
      <c r="B3804" s="6" t="str">
        <f>"黄敏"</f>
        <v>黄敏</v>
      </c>
      <c r="C3804" s="6" t="str">
        <f t="shared" si="179"/>
        <v>女</v>
      </c>
      <c r="D3804" s="6" t="str">
        <f>"202131022007"</f>
        <v>202131022007</v>
      </c>
      <c r="E3804" s="10" t="s">
        <v>27</v>
      </c>
      <c r="F3804" s="6" t="s">
        <v>13</v>
      </c>
      <c r="G3804" s="8">
        <v>76.95</v>
      </c>
      <c r="H3804" s="6"/>
    </row>
    <row r="3805" spans="1:8">
      <c r="A3805" s="5">
        <v>3620</v>
      </c>
      <c r="B3805" s="6" t="str">
        <f>"胡欣"</f>
        <v>胡欣</v>
      </c>
      <c r="C3805" s="6" t="str">
        <f t="shared" si="179"/>
        <v>女</v>
      </c>
      <c r="D3805" s="6" t="str">
        <f>"202131022008"</f>
        <v>202131022008</v>
      </c>
      <c r="E3805" s="10" t="s">
        <v>27</v>
      </c>
      <c r="F3805" s="6" t="s">
        <v>13</v>
      </c>
      <c r="G3805" s="8">
        <v>84.8</v>
      </c>
      <c r="H3805" s="6"/>
    </row>
    <row r="3806" spans="1:8">
      <c r="A3806" s="5">
        <v>3630</v>
      </c>
      <c r="B3806" s="6" t="str">
        <f>"黄秀红"</f>
        <v>黄秀红</v>
      </c>
      <c r="C3806" s="6" t="str">
        <f t="shared" si="179"/>
        <v>女</v>
      </c>
      <c r="D3806" s="6" t="str">
        <f>"202131022009"</f>
        <v>202131022009</v>
      </c>
      <c r="E3806" s="10" t="s">
        <v>27</v>
      </c>
      <c r="F3806" s="6" t="s">
        <v>13</v>
      </c>
      <c r="G3806" s="8">
        <v>79.05</v>
      </c>
      <c r="H3806" s="6"/>
    </row>
    <row r="3807" spans="1:8">
      <c r="A3807" s="5">
        <v>3569</v>
      </c>
      <c r="B3807" s="6" t="str">
        <f>"胡晶"</f>
        <v>胡晶</v>
      </c>
      <c r="C3807" s="6" t="str">
        <f t="shared" si="179"/>
        <v>女</v>
      </c>
      <c r="D3807" s="6" t="str">
        <f>"202131022010"</f>
        <v>202131022010</v>
      </c>
      <c r="E3807" s="10" t="s">
        <v>27</v>
      </c>
      <c r="F3807" s="6" t="s">
        <v>13</v>
      </c>
      <c r="G3807" s="8">
        <v>79.099999999999994</v>
      </c>
      <c r="H3807" s="6"/>
    </row>
    <row r="3808" spans="1:8">
      <c r="A3808" s="5">
        <v>3661</v>
      </c>
      <c r="B3808" s="6" t="str">
        <f>"周洁维"</f>
        <v>周洁维</v>
      </c>
      <c r="C3808" s="6" t="str">
        <f t="shared" si="179"/>
        <v>女</v>
      </c>
      <c r="D3808" s="6" t="str">
        <f>"202131022011"</f>
        <v>202131022011</v>
      </c>
      <c r="E3808" s="10" t="s">
        <v>27</v>
      </c>
      <c r="F3808" s="6" t="s">
        <v>13</v>
      </c>
      <c r="G3808" s="8">
        <v>70.55</v>
      </c>
      <c r="H3808" s="6"/>
    </row>
    <row r="3809" spans="1:8">
      <c r="A3809" s="5">
        <v>3598</v>
      </c>
      <c r="B3809" s="6" t="str">
        <f>"陈丽"</f>
        <v>陈丽</v>
      </c>
      <c r="C3809" s="6" t="str">
        <f t="shared" si="179"/>
        <v>女</v>
      </c>
      <c r="D3809" s="6" t="str">
        <f>"202131022012"</f>
        <v>202131022012</v>
      </c>
      <c r="E3809" s="10" t="s">
        <v>27</v>
      </c>
      <c r="F3809" s="6" t="s">
        <v>13</v>
      </c>
      <c r="G3809" s="8">
        <v>83.7</v>
      </c>
      <c r="H3809" s="6"/>
    </row>
    <row r="3810" spans="1:8">
      <c r="A3810" s="5">
        <v>3581</v>
      </c>
      <c r="B3810" s="6" t="str">
        <f>"赵薇"</f>
        <v>赵薇</v>
      </c>
      <c r="C3810" s="6" t="str">
        <f t="shared" si="179"/>
        <v>女</v>
      </c>
      <c r="D3810" s="6" t="str">
        <f>"202131022013"</f>
        <v>202131022013</v>
      </c>
      <c r="E3810" s="10" t="s">
        <v>27</v>
      </c>
      <c r="F3810" s="6" t="s">
        <v>13</v>
      </c>
      <c r="G3810" s="8">
        <v>73.55</v>
      </c>
      <c r="H3810" s="6"/>
    </row>
    <row r="3811" spans="1:8">
      <c r="A3811" s="5">
        <v>3611</v>
      </c>
      <c r="B3811" s="6" t="str">
        <f>"石媛"</f>
        <v>石媛</v>
      </c>
      <c r="C3811" s="6" t="str">
        <f t="shared" si="179"/>
        <v>女</v>
      </c>
      <c r="D3811" s="6" t="str">
        <f>"202131022014"</f>
        <v>202131022014</v>
      </c>
      <c r="E3811" s="10" t="s">
        <v>27</v>
      </c>
      <c r="F3811" s="6" t="s">
        <v>13</v>
      </c>
      <c r="G3811" s="8">
        <v>86.8</v>
      </c>
      <c r="H3811" s="6"/>
    </row>
    <row r="3812" spans="1:8">
      <c r="A3812" s="5">
        <v>3673</v>
      </c>
      <c r="B3812" s="6" t="str">
        <f>"兰仙湖"</f>
        <v>兰仙湖</v>
      </c>
      <c r="C3812" s="6" t="str">
        <f t="shared" si="179"/>
        <v>女</v>
      </c>
      <c r="D3812" s="6" t="str">
        <f>"202131022015"</f>
        <v>202131022015</v>
      </c>
      <c r="E3812" s="10" t="s">
        <v>27</v>
      </c>
      <c r="F3812" s="6" t="s">
        <v>13</v>
      </c>
      <c r="G3812" s="8">
        <v>56.7</v>
      </c>
      <c r="H3812" s="6"/>
    </row>
    <row r="3813" spans="1:8">
      <c r="A3813" s="5">
        <v>3647</v>
      </c>
      <c r="B3813" s="6" t="str">
        <f>"刘梨红"</f>
        <v>刘梨红</v>
      </c>
      <c r="C3813" s="6" t="str">
        <f t="shared" si="179"/>
        <v>女</v>
      </c>
      <c r="D3813" s="6" t="str">
        <f>"202131022016"</f>
        <v>202131022016</v>
      </c>
      <c r="E3813" s="10" t="s">
        <v>27</v>
      </c>
      <c r="F3813" s="6" t="s">
        <v>13</v>
      </c>
      <c r="G3813" s="8">
        <v>73.150000000000006</v>
      </c>
      <c r="H3813" s="6"/>
    </row>
    <row r="3814" spans="1:8">
      <c r="A3814" s="5">
        <v>3641</v>
      </c>
      <c r="B3814" s="6" t="str">
        <f>"雷骐毓"</f>
        <v>雷骐毓</v>
      </c>
      <c r="C3814" s="6" t="str">
        <f t="shared" si="179"/>
        <v>女</v>
      </c>
      <c r="D3814" s="6" t="str">
        <f>"202131022017"</f>
        <v>202131022017</v>
      </c>
      <c r="E3814" s="10" t="s">
        <v>27</v>
      </c>
      <c r="F3814" s="6" t="s">
        <v>13</v>
      </c>
      <c r="G3814" s="8">
        <v>77.599999999999994</v>
      </c>
      <c r="H3814" s="6"/>
    </row>
    <row r="3815" spans="1:8">
      <c r="A3815" s="5">
        <v>3664</v>
      </c>
      <c r="B3815" s="6" t="str">
        <f>"胡蕾"</f>
        <v>胡蕾</v>
      </c>
      <c r="C3815" s="6" t="str">
        <f t="shared" si="179"/>
        <v>女</v>
      </c>
      <c r="D3815" s="6" t="str">
        <f>"202131022018"</f>
        <v>202131022018</v>
      </c>
      <c r="E3815" s="10" t="s">
        <v>27</v>
      </c>
      <c r="F3815" s="6" t="s">
        <v>13</v>
      </c>
      <c r="G3815" s="8">
        <v>70.849999999999994</v>
      </c>
      <c r="H3815" s="6"/>
    </row>
    <row r="3816" spans="1:8">
      <c r="A3816" s="5">
        <v>3643</v>
      </c>
      <c r="B3816" s="6" t="str">
        <f>"肖玉倩"</f>
        <v>肖玉倩</v>
      </c>
      <c r="C3816" s="6" t="str">
        <f t="shared" si="179"/>
        <v>女</v>
      </c>
      <c r="D3816" s="6" t="str">
        <f>"202131022019"</f>
        <v>202131022019</v>
      </c>
      <c r="E3816" s="10" t="s">
        <v>27</v>
      </c>
      <c r="F3816" s="6" t="s">
        <v>13</v>
      </c>
      <c r="G3816" s="8">
        <v>74.55</v>
      </c>
      <c r="H3816" s="6"/>
    </row>
    <row r="3817" spans="1:8">
      <c r="A3817" s="5">
        <v>3577</v>
      </c>
      <c r="B3817" s="6" t="str">
        <f>"王茜"</f>
        <v>王茜</v>
      </c>
      <c r="C3817" s="6" t="str">
        <f t="shared" si="179"/>
        <v>女</v>
      </c>
      <c r="D3817" s="6" t="str">
        <f>"202131022020"</f>
        <v>202131022020</v>
      </c>
      <c r="E3817" s="10" t="s">
        <v>27</v>
      </c>
      <c r="F3817" s="6" t="s">
        <v>13</v>
      </c>
      <c r="G3817" s="8">
        <v>86.05</v>
      </c>
      <c r="H3817" s="6"/>
    </row>
    <row r="3818" spans="1:8">
      <c r="A3818" s="5">
        <v>3694</v>
      </c>
      <c r="B3818" s="6" t="str">
        <f>"罗瑶"</f>
        <v>罗瑶</v>
      </c>
      <c r="C3818" s="6" t="str">
        <f t="shared" si="179"/>
        <v>女</v>
      </c>
      <c r="D3818" s="6" t="str">
        <f>"202131022021"</f>
        <v>202131022021</v>
      </c>
      <c r="E3818" s="10" t="s">
        <v>27</v>
      </c>
      <c r="F3818" s="6" t="s">
        <v>13</v>
      </c>
      <c r="G3818" s="8">
        <v>83.8</v>
      </c>
      <c r="H3818" s="6"/>
    </row>
    <row r="3819" spans="1:8">
      <c r="A3819" s="5">
        <v>3567</v>
      </c>
      <c r="B3819" s="6" t="str">
        <f>"向艳"</f>
        <v>向艳</v>
      </c>
      <c r="C3819" s="6" t="str">
        <f t="shared" si="179"/>
        <v>女</v>
      </c>
      <c r="D3819" s="6" t="str">
        <f>"202131022022"</f>
        <v>202131022022</v>
      </c>
      <c r="E3819" s="10" t="s">
        <v>27</v>
      </c>
      <c r="F3819" s="6" t="s">
        <v>13</v>
      </c>
      <c r="G3819" s="8">
        <v>78</v>
      </c>
      <c r="H3819" s="6"/>
    </row>
    <row r="3820" spans="1:8">
      <c r="A3820" s="5">
        <v>3571</v>
      </c>
      <c r="B3820" s="6" t="str">
        <f>"罗静"</f>
        <v>罗静</v>
      </c>
      <c r="C3820" s="6" t="str">
        <f t="shared" si="179"/>
        <v>女</v>
      </c>
      <c r="D3820" s="6" t="str">
        <f>"202131022023"</f>
        <v>202131022023</v>
      </c>
      <c r="E3820" s="10" t="s">
        <v>27</v>
      </c>
      <c r="F3820" s="6" t="s">
        <v>13</v>
      </c>
      <c r="G3820" s="8">
        <v>81.599999999999994</v>
      </c>
      <c r="H3820" s="6"/>
    </row>
    <row r="3821" spans="1:8">
      <c r="A3821" s="5">
        <v>3559</v>
      </c>
      <c r="B3821" s="6" t="str">
        <f>"蔡程程"</f>
        <v>蔡程程</v>
      </c>
      <c r="C3821" s="6" t="str">
        <f t="shared" si="179"/>
        <v>女</v>
      </c>
      <c r="D3821" s="6" t="str">
        <f>"202131022024"</f>
        <v>202131022024</v>
      </c>
      <c r="E3821" s="10" t="s">
        <v>27</v>
      </c>
      <c r="F3821" s="6" t="s">
        <v>13</v>
      </c>
      <c r="G3821" s="8">
        <v>84.8</v>
      </c>
      <c r="H3821" s="6"/>
    </row>
    <row r="3822" spans="1:8">
      <c r="A3822" s="5">
        <v>3540</v>
      </c>
      <c r="B3822" s="6" t="str">
        <f>"唐可欣"</f>
        <v>唐可欣</v>
      </c>
      <c r="C3822" s="6" t="str">
        <f t="shared" si="179"/>
        <v>女</v>
      </c>
      <c r="D3822" s="6" t="str">
        <f>"202131022025"</f>
        <v>202131022025</v>
      </c>
      <c r="E3822" s="10" t="s">
        <v>27</v>
      </c>
      <c r="F3822" s="6" t="s">
        <v>13</v>
      </c>
      <c r="G3822" s="8">
        <v>75</v>
      </c>
      <c r="H3822" s="6"/>
    </row>
    <row r="3823" spans="1:8">
      <c r="A3823" s="5">
        <v>3633</v>
      </c>
      <c r="B3823" s="6" t="str">
        <f>"杨梦琳"</f>
        <v>杨梦琳</v>
      </c>
      <c r="C3823" s="6" t="str">
        <f t="shared" si="179"/>
        <v>女</v>
      </c>
      <c r="D3823" s="6" t="str">
        <f>"202131022026"</f>
        <v>202131022026</v>
      </c>
      <c r="E3823" s="10" t="s">
        <v>27</v>
      </c>
      <c r="F3823" s="6" t="s">
        <v>13</v>
      </c>
      <c r="G3823" s="8">
        <v>84.1</v>
      </c>
      <c r="H3823" s="6"/>
    </row>
    <row r="3824" spans="1:8">
      <c r="A3824" s="5">
        <v>3606</v>
      </c>
      <c r="B3824" s="6" t="str">
        <f>"周针吏"</f>
        <v>周针吏</v>
      </c>
      <c r="C3824" s="6" t="str">
        <f t="shared" si="179"/>
        <v>女</v>
      </c>
      <c r="D3824" s="6" t="str">
        <f>"202131022027"</f>
        <v>202131022027</v>
      </c>
      <c r="E3824" s="10" t="s">
        <v>27</v>
      </c>
      <c r="F3824" s="6" t="s">
        <v>13</v>
      </c>
      <c r="G3824" s="8">
        <v>65.55</v>
      </c>
      <c r="H3824" s="6"/>
    </row>
    <row r="3825" spans="1:8">
      <c r="A3825" s="5">
        <v>3698</v>
      </c>
      <c r="B3825" s="6" t="str">
        <f>"王海燕"</f>
        <v>王海燕</v>
      </c>
      <c r="C3825" s="6" t="str">
        <f t="shared" si="179"/>
        <v>女</v>
      </c>
      <c r="D3825" s="6" t="str">
        <f>"202131022028"</f>
        <v>202131022028</v>
      </c>
      <c r="E3825" s="10" t="s">
        <v>27</v>
      </c>
      <c r="F3825" s="6" t="s">
        <v>13</v>
      </c>
      <c r="G3825" s="8">
        <v>83.15</v>
      </c>
      <c r="H3825" s="6"/>
    </row>
    <row r="3826" spans="1:8">
      <c r="A3826" s="5">
        <v>3601</v>
      </c>
      <c r="B3826" s="6" t="str">
        <f>"张倩"</f>
        <v>张倩</v>
      </c>
      <c r="C3826" s="6" t="str">
        <f t="shared" si="179"/>
        <v>女</v>
      </c>
      <c r="D3826" s="6" t="str">
        <f>"202131022029"</f>
        <v>202131022029</v>
      </c>
      <c r="E3826" s="10" t="s">
        <v>27</v>
      </c>
      <c r="F3826" s="6" t="s">
        <v>13</v>
      </c>
      <c r="G3826" s="8">
        <v>0</v>
      </c>
      <c r="H3826" s="6"/>
    </row>
    <row r="3827" spans="1:8">
      <c r="A3827" s="5">
        <v>3549</v>
      </c>
      <c r="B3827" s="6" t="str">
        <f>"唐丹"</f>
        <v>唐丹</v>
      </c>
      <c r="C3827" s="6" t="str">
        <f t="shared" si="179"/>
        <v>女</v>
      </c>
      <c r="D3827" s="6" t="str">
        <f>"202131022030"</f>
        <v>202131022030</v>
      </c>
      <c r="E3827" s="10" t="s">
        <v>27</v>
      </c>
      <c r="F3827" s="6" t="s">
        <v>13</v>
      </c>
      <c r="G3827" s="8">
        <v>87.7</v>
      </c>
      <c r="H3827" s="6"/>
    </row>
    <row r="3828" spans="1:8">
      <c r="A3828" s="5">
        <v>3614</v>
      </c>
      <c r="B3828" s="6" t="str">
        <f>" 姜黎"</f>
        <v>姜黎</v>
      </c>
      <c r="C3828" s="6" t="str">
        <f t="shared" si="179"/>
        <v>女</v>
      </c>
      <c r="D3828" s="6" t="str">
        <f>"202131022101"</f>
        <v>202131022101</v>
      </c>
      <c r="E3828" s="10" t="s">
        <v>27</v>
      </c>
      <c r="F3828" s="6" t="s">
        <v>13</v>
      </c>
      <c r="G3828" s="8">
        <v>88.55</v>
      </c>
      <c r="H3828" s="6"/>
    </row>
    <row r="3829" spans="1:8">
      <c r="A3829" s="5">
        <v>3556</v>
      </c>
      <c r="B3829" s="6" t="str">
        <f>"邹婷"</f>
        <v>邹婷</v>
      </c>
      <c r="C3829" s="6" t="str">
        <f t="shared" si="179"/>
        <v>女</v>
      </c>
      <c r="D3829" s="6" t="str">
        <f>"202131022102"</f>
        <v>202131022102</v>
      </c>
      <c r="E3829" s="10" t="s">
        <v>27</v>
      </c>
      <c r="F3829" s="6" t="s">
        <v>13</v>
      </c>
      <c r="G3829" s="8">
        <v>0</v>
      </c>
      <c r="H3829" s="9">
        <v>1</v>
      </c>
    </row>
    <row r="3830" spans="1:8">
      <c r="A3830" s="5">
        <v>3691</v>
      </c>
      <c r="B3830" s="6" t="str">
        <f>"李娜"</f>
        <v>李娜</v>
      </c>
      <c r="C3830" s="6" t="str">
        <f t="shared" ref="C3830:C3853" si="180">"女"</f>
        <v>女</v>
      </c>
      <c r="D3830" s="6" t="str">
        <f>"202131022103"</f>
        <v>202131022103</v>
      </c>
      <c r="E3830" s="10" t="s">
        <v>27</v>
      </c>
      <c r="F3830" s="6" t="s">
        <v>13</v>
      </c>
      <c r="G3830" s="8">
        <v>80.75</v>
      </c>
      <c r="H3830" s="6"/>
    </row>
    <row r="3831" spans="1:8">
      <c r="A3831" s="5">
        <v>3562</v>
      </c>
      <c r="B3831" s="6" t="str">
        <f>"陈晓梅"</f>
        <v>陈晓梅</v>
      </c>
      <c r="C3831" s="6" t="str">
        <f t="shared" si="180"/>
        <v>女</v>
      </c>
      <c r="D3831" s="6" t="str">
        <f>"202131022104"</f>
        <v>202131022104</v>
      </c>
      <c r="E3831" s="10" t="s">
        <v>27</v>
      </c>
      <c r="F3831" s="6" t="s">
        <v>13</v>
      </c>
      <c r="G3831" s="8">
        <v>81.650000000000006</v>
      </c>
      <c r="H3831" s="6"/>
    </row>
    <row r="3832" spans="1:8">
      <c r="A3832" s="5">
        <v>3681</v>
      </c>
      <c r="B3832" s="6" t="str">
        <f>"曹紫钰"</f>
        <v>曹紫钰</v>
      </c>
      <c r="C3832" s="6" t="str">
        <f t="shared" si="180"/>
        <v>女</v>
      </c>
      <c r="D3832" s="6" t="str">
        <f>"202131022105"</f>
        <v>202131022105</v>
      </c>
      <c r="E3832" s="10" t="s">
        <v>27</v>
      </c>
      <c r="F3832" s="6" t="s">
        <v>13</v>
      </c>
      <c r="G3832" s="8">
        <v>76.95</v>
      </c>
      <c r="H3832" s="6"/>
    </row>
    <row r="3833" spans="1:8">
      <c r="A3833" s="5">
        <v>3631</v>
      </c>
      <c r="B3833" s="6" t="str">
        <f>"李联芳"</f>
        <v>李联芳</v>
      </c>
      <c r="C3833" s="6" t="str">
        <f t="shared" si="180"/>
        <v>女</v>
      </c>
      <c r="D3833" s="6" t="str">
        <f>"202131022106"</f>
        <v>202131022106</v>
      </c>
      <c r="E3833" s="10" t="s">
        <v>27</v>
      </c>
      <c r="F3833" s="6" t="s">
        <v>13</v>
      </c>
      <c r="G3833" s="8">
        <v>78.45</v>
      </c>
      <c r="H3833" s="6"/>
    </row>
    <row r="3834" spans="1:8">
      <c r="A3834" s="5">
        <v>3543</v>
      </c>
      <c r="B3834" s="6" t="str">
        <f>"杨东"</f>
        <v>杨东</v>
      </c>
      <c r="C3834" s="6" t="str">
        <f t="shared" si="180"/>
        <v>女</v>
      </c>
      <c r="D3834" s="6" t="str">
        <f>"202131022107"</f>
        <v>202131022107</v>
      </c>
      <c r="E3834" s="10" t="s">
        <v>27</v>
      </c>
      <c r="F3834" s="6" t="s">
        <v>13</v>
      </c>
      <c r="G3834" s="8">
        <v>70.849999999999994</v>
      </c>
      <c r="H3834" s="6"/>
    </row>
    <row r="3835" spans="1:8">
      <c r="A3835" s="5">
        <v>3568</v>
      </c>
      <c r="B3835" s="6" t="str">
        <f>"陈晓霞"</f>
        <v>陈晓霞</v>
      </c>
      <c r="C3835" s="6" t="str">
        <f t="shared" si="180"/>
        <v>女</v>
      </c>
      <c r="D3835" s="6" t="str">
        <f>"202131022108"</f>
        <v>202131022108</v>
      </c>
      <c r="E3835" s="10" t="s">
        <v>27</v>
      </c>
      <c r="F3835" s="6" t="s">
        <v>13</v>
      </c>
      <c r="G3835" s="8">
        <v>0</v>
      </c>
      <c r="H3835" s="9">
        <v>1</v>
      </c>
    </row>
    <row r="3836" spans="1:8">
      <c r="A3836" s="5">
        <v>3547</v>
      </c>
      <c r="B3836" s="6" t="str">
        <f>"周鲜艳"</f>
        <v>周鲜艳</v>
      </c>
      <c r="C3836" s="6" t="str">
        <f t="shared" si="180"/>
        <v>女</v>
      </c>
      <c r="D3836" s="6" t="str">
        <f>"202131022109"</f>
        <v>202131022109</v>
      </c>
      <c r="E3836" s="10" t="s">
        <v>27</v>
      </c>
      <c r="F3836" s="6" t="s">
        <v>13</v>
      </c>
      <c r="G3836" s="8">
        <v>82</v>
      </c>
      <c r="H3836" s="6"/>
    </row>
    <row r="3837" spans="1:8">
      <c r="A3837" s="5">
        <v>3696</v>
      </c>
      <c r="B3837" s="6" t="str">
        <f>"田璐"</f>
        <v>田璐</v>
      </c>
      <c r="C3837" s="6" t="str">
        <f t="shared" si="180"/>
        <v>女</v>
      </c>
      <c r="D3837" s="6" t="str">
        <f>"202131022110"</f>
        <v>202131022110</v>
      </c>
      <c r="E3837" s="10" t="s">
        <v>27</v>
      </c>
      <c r="F3837" s="6" t="s">
        <v>13</v>
      </c>
      <c r="G3837" s="8">
        <v>86.75</v>
      </c>
      <c r="H3837" s="6"/>
    </row>
    <row r="3838" spans="1:8">
      <c r="A3838" s="5">
        <v>3558</v>
      </c>
      <c r="B3838" s="6" t="str">
        <f>"隆雪梅"</f>
        <v>隆雪梅</v>
      </c>
      <c r="C3838" s="6" t="str">
        <f t="shared" si="180"/>
        <v>女</v>
      </c>
      <c r="D3838" s="6" t="str">
        <f>"202131022111"</f>
        <v>202131022111</v>
      </c>
      <c r="E3838" s="10" t="s">
        <v>27</v>
      </c>
      <c r="F3838" s="6" t="s">
        <v>13</v>
      </c>
      <c r="G3838" s="8">
        <v>85.55</v>
      </c>
      <c r="H3838" s="6"/>
    </row>
    <row r="3839" spans="1:8">
      <c r="A3839" s="5">
        <v>3554</v>
      </c>
      <c r="B3839" s="6" t="str">
        <f>"蒋玲玲"</f>
        <v>蒋玲玲</v>
      </c>
      <c r="C3839" s="6" t="str">
        <f t="shared" si="180"/>
        <v>女</v>
      </c>
      <c r="D3839" s="6" t="str">
        <f>"202131022112"</f>
        <v>202131022112</v>
      </c>
      <c r="E3839" s="10" t="s">
        <v>27</v>
      </c>
      <c r="F3839" s="6" t="s">
        <v>13</v>
      </c>
      <c r="G3839" s="8">
        <v>80.05</v>
      </c>
      <c r="H3839" s="6"/>
    </row>
    <row r="3840" spans="1:8">
      <c r="A3840" s="5">
        <v>3585</v>
      </c>
      <c r="B3840" s="6" t="str">
        <f>"张兰叶"</f>
        <v>张兰叶</v>
      </c>
      <c r="C3840" s="6" t="str">
        <f t="shared" si="180"/>
        <v>女</v>
      </c>
      <c r="D3840" s="6" t="str">
        <f>"202131022113"</f>
        <v>202131022113</v>
      </c>
      <c r="E3840" s="10" t="s">
        <v>27</v>
      </c>
      <c r="F3840" s="6" t="s">
        <v>13</v>
      </c>
      <c r="G3840" s="8">
        <v>92.8</v>
      </c>
      <c r="H3840" s="6"/>
    </row>
    <row r="3841" spans="1:8">
      <c r="A3841" s="5">
        <v>3637</v>
      </c>
      <c r="B3841" s="6" t="str">
        <f>"吴海情"</f>
        <v>吴海情</v>
      </c>
      <c r="C3841" s="6" t="str">
        <f t="shared" si="180"/>
        <v>女</v>
      </c>
      <c r="D3841" s="6" t="str">
        <f>"202131022114"</f>
        <v>202131022114</v>
      </c>
      <c r="E3841" s="10" t="s">
        <v>27</v>
      </c>
      <c r="F3841" s="6" t="s">
        <v>13</v>
      </c>
      <c r="G3841" s="8">
        <v>86.65</v>
      </c>
      <c r="H3841" s="6"/>
    </row>
    <row r="3842" spans="1:8">
      <c r="A3842" s="5">
        <v>3555</v>
      </c>
      <c r="B3842" s="6" t="str">
        <f>"胡小花"</f>
        <v>胡小花</v>
      </c>
      <c r="C3842" s="6" t="str">
        <f t="shared" si="180"/>
        <v>女</v>
      </c>
      <c r="D3842" s="6" t="str">
        <f>"202131022115"</f>
        <v>202131022115</v>
      </c>
      <c r="E3842" s="10" t="s">
        <v>27</v>
      </c>
      <c r="F3842" s="6" t="s">
        <v>13</v>
      </c>
      <c r="G3842" s="8">
        <v>84.3</v>
      </c>
      <c r="H3842" s="6"/>
    </row>
    <row r="3843" spans="1:8">
      <c r="A3843" s="5">
        <v>3654</v>
      </c>
      <c r="B3843" s="6" t="str">
        <f>"伍雅静"</f>
        <v>伍雅静</v>
      </c>
      <c r="C3843" s="6" t="str">
        <f t="shared" si="180"/>
        <v>女</v>
      </c>
      <c r="D3843" s="6" t="str">
        <f>"202131022116"</f>
        <v>202131022116</v>
      </c>
      <c r="E3843" s="10" t="s">
        <v>27</v>
      </c>
      <c r="F3843" s="6" t="s">
        <v>13</v>
      </c>
      <c r="G3843" s="8">
        <v>51.65</v>
      </c>
      <c r="H3843" s="6"/>
    </row>
    <row r="3844" spans="1:8">
      <c r="A3844" s="5">
        <v>3548</v>
      </c>
      <c r="B3844" s="6" t="str">
        <f>"康小玥"</f>
        <v>康小玥</v>
      </c>
      <c r="C3844" s="6" t="str">
        <f t="shared" si="180"/>
        <v>女</v>
      </c>
      <c r="D3844" s="6" t="str">
        <f>"202131022117"</f>
        <v>202131022117</v>
      </c>
      <c r="E3844" s="10" t="s">
        <v>27</v>
      </c>
      <c r="F3844" s="6" t="s">
        <v>13</v>
      </c>
      <c r="G3844" s="8">
        <v>88.4</v>
      </c>
      <c r="H3844" s="6"/>
    </row>
    <row r="3845" spans="1:8">
      <c r="A3845" s="5">
        <v>3612</v>
      </c>
      <c r="B3845" s="6" t="str">
        <f>"周婉影"</f>
        <v>周婉影</v>
      </c>
      <c r="C3845" s="6" t="str">
        <f t="shared" si="180"/>
        <v>女</v>
      </c>
      <c r="D3845" s="6" t="str">
        <f>"202131022118"</f>
        <v>202131022118</v>
      </c>
      <c r="E3845" s="10" t="s">
        <v>27</v>
      </c>
      <c r="F3845" s="6" t="s">
        <v>13</v>
      </c>
      <c r="G3845" s="8">
        <v>86.3</v>
      </c>
      <c r="H3845" s="6"/>
    </row>
    <row r="3846" spans="1:8">
      <c r="A3846" s="5">
        <v>3553</v>
      </c>
      <c r="B3846" s="6" t="str">
        <f>"谢雪芬"</f>
        <v>谢雪芬</v>
      </c>
      <c r="C3846" s="6" t="str">
        <f t="shared" si="180"/>
        <v>女</v>
      </c>
      <c r="D3846" s="6" t="str">
        <f>"202131022119"</f>
        <v>202131022119</v>
      </c>
      <c r="E3846" s="10" t="s">
        <v>27</v>
      </c>
      <c r="F3846" s="6" t="s">
        <v>13</v>
      </c>
      <c r="G3846" s="8">
        <v>85.55</v>
      </c>
      <c r="H3846" s="6"/>
    </row>
    <row r="3847" spans="1:8">
      <c r="A3847" s="5">
        <v>3632</v>
      </c>
      <c r="B3847" s="6" t="str">
        <f>"马靖"</f>
        <v>马靖</v>
      </c>
      <c r="C3847" s="6" t="str">
        <f t="shared" si="180"/>
        <v>女</v>
      </c>
      <c r="D3847" s="6" t="str">
        <f>"202131022120"</f>
        <v>202131022120</v>
      </c>
      <c r="E3847" s="10" t="s">
        <v>27</v>
      </c>
      <c r="F3847" s="6" t="s">
        <v>13</v>
      </c>
      <c r="G3847" s="8">
        <v>77.7</v>
      </c>
      <c r="H3847" s="6"/>
    </row>
    <row r="3848" spans="1:8">
      <c r="A3848" s="5">
        <v>3561</v>
      </c>
      <c r="B3848" s="6" t="str">
        <f>"唐占枝"</f>
        <v>唐占枝</v>
      </c>
      <c r="C3848" s="6" t="str">
        <f t="shared" si="180"/>
        <v>女</v>
      </c>
      <c r="D3848" s="6" t="str">
        <f>"202131022121"</f>
        <v>202131022121</v>
      </c>
      <c r="E3848" s="10" t="s">
        <v>27</v>
      </c>
      <c r="F3848" s="6" t="s">
        <v>13</v>
      </c>
      <c r="G3848" s="8">
        <v>67.900000000000006</v>
      </c>
      <c r="H3848" s="6"/>
    </row>
    <row r="3849" spans="1:8">
      <c r="A3849" s="5">
        <v>3596</v>
      </c>
      <c r="B3849" s="6" t="str">
        <f>"吴婷"</f>
        <v>吴婷</v>
      </c>
      <c r="C3849" s="6" t="str">
        <f t="shared" si="180"/>
        <v>女</v>
      </c>
      <c r="D3849" s="6" t="str">
        <f>"202131022122"</f>
        <v>202131022122</v>
      </c>
      <c r="E3849" s="10" t="s">
        <v>27</v>
      </c>
      <c r="F3849" s="6" t="s">
        <v>13</v>
      </c>
      <c r="G3849" s="8">
        <v>79.45</v>
      </c>
      <c r="H3849" s="6"/>
    </row>
    <row r="3850" spans="1:8">
      <c r="A3850" s="5">
        <v>3627</v>
      </c>
      <c r="B3850" s="6" t="str">
        <f>"李洁鸿"</f>
        <v>李洁鸿</v>
      </c>
      <c r="C3850" s="6" t="str">
        <f t="shared" si="180"/>
        <v>女</v>
      </c>
      <c r="D3850" s="6" t="str">
        <f>"202131022123"</f>
        <v>202131022123</v>
      </c>
      <c r="E3850" s="10" t="s">
        <v>27</v>
      </c>
      <c r="F3850" s="6" t="s">
        <v>13</v>
      </c>
      <c r="G3850" s="8">
        <v>76</v>
      </c>
      <c r="H3850" s="6"/>
    </row>
    <row r="3851" spans="1:8">
      <c r="A3851" s="5">
        <v>3531</v>
      </c>
      <c r="B3851" s="6" t="str">
        <f>"石陆凤"</f>
        <v>石陆凤</v>
      </c>
      <c r="C3851" s="6" t="str">
        <f t="shared" si="180"/>
        <v>女</v>
      </c>
      <c r="D3851" s="6" t="str">
        <f>"202131022124"</f>
        <v>202131022124</v>
      </c>
      <c r="E3851" s="10" t="s">
        <v>27</v>
      </c>
      <c r="F3851" s="6" t="s">
        <v>13</v>
      </c>
      <c r="G3851" s="8">
        <v>89.2</v>
      </c>
      <c r="H3851" s="6"/>
    </row>
    <row r="3852" spans="1:8">
      <c r="A3852" s="5">
        <v>3544</v>
      </c>
      <c r="B3852" s="6" t="str">
        <f>"肖娟艳"</f>
        <v>肖娟艳</v>
      </c>
      <c r="C3852" s="6" t="str">
        <f t="shared" si="180"/>
        <v>女</v>
      </c>
      <c r="D3852" s="6" t="str">
        <f>"202131022125"</f>
        <v>202131022125</v>
      </c>
      <c r="E3852" s="10" t="s">
        <v>27</v>
      </c>
      <c r="F3852" s="6" t="s">
        <v>13</v>
      </c>
      <c r="G3852" s="8">
        <v>76.900000000000006</v>
      </c>
      <c r="H3852" s="6"/>
    </row>
    <row r="3853" spans="1:8">
      <c r="A3853" s="5">
        <v>3663</v>
      </c>
      <c r="B3853" s="6" t="str">
        <f>"尹洁"</f>
        <v>尹洁</v>
      </c>
      <c r="C3853" s="6" t="str">
        <f t="shared" si="180"/>
        <v>女</v>
      </c>
      <c r="D3853" s="6" t="str">
        <f>"202131022126"</f>
        <v>202131022126</v>
      </c>
      <c r="E3853" s="10" t="s">
        <v>27</v>
      </c>
      <c r="F3853" s="6" t="s">
        <v>13</v>
      </c>
      <c r="G3853" s="8">
        <v>72.05</v>
      </c>
      <c r="H3853" s="6"/>
    </row>
    <row r="3854" spans="1:8">
      <c r="A3854" s="5">
        <v>3645</v>
      </c>
      <c r="B3854" s="6" t="str">
        <f>"马可"</f>
        <v>马可</v>
      </c>
      <c r="C3854" s="6" t="str">
        <f>"男"</f>
        <v>男</v>
      </c>
      <c r="D3854" s="6" t="str">
        <f>"202131022127"</f>
        <v>202131022127</v>
      </c>
      <c r="E3854" s="10" t="s">
        <v>27</v>
      </c>
      <c r="F3854" s="6" t="s">
        <v>13</v>
      </c>
      <c r="G3854" s="8">
        <v>81.95</v>
      </c>
      <c r="H3854" s="6"/>
    </row>
    <row r="3855" spans="1:8">
      <c r="A3855" s="5">
        <v>3541</v>
      </c>
      <c r="B3855" s="6" t="str">
        <f>"肖波"</f>
        <v>肖波</v>
      </c>
      <c r="C3855" s="6" t="str">
        <f t="shared" ref="C3855:C3881" si="181">"女"</f>
        <v>女</v>
      </c>
      <c r="D3855" s="6" t="str">
        <f>"202131022128"</f>
        <v>202131022128</v>
      </c>
      <c r="E3855" s="10" t="s">
        <v>27</v>
      </c>
      <c r="F3855" s="6" t="s">
        <v>13</v>
      </c>
      <c r="G3855" s="8">
        <v>80.45</v>
      </c>
      <c r="H3855" s="6"/>
    </row>
    <row r="3856" spans="1:8">
      <c r="A3856" s="5">
        <v>3662</v>
      </c>
      <c r="B3856" s="6" t="str">
        <f>"陈熠"</f>
        <v>陈熠</v>
      </c>
      <c r="C3856" s="6" t="str">
        <f t="shared" si="181"/>
        <v>女</v>
      </c>
      <c r="D3856" s="6" t="str">
        <f>"202131022129"</f>
        <v>202131022129</v>
      </c>
      <c r="E3856" s="10" t="s">
        <v>27</v>
      </c>
      <c r="F3856" s="6" t="s">
        <v>13</v>
      </c>
      <c r="G3856" s="8">
        <v>86.1</v>
      </c>
      <c r="H3856" s="6"/>
    </row>
    <row r="3857" spans="1:8">
      <c r="A3857" s="5">
        <v>3619</v>
      </c>
      <c r="B3857" s="6" t="str">
        <f>"谭永芳"</f>
        <v>谭永芳</v>
      </c>
      <c r="C3857" s="6" t="str">
        <f t="shared" si="181"/>
        <v>女</v>
      </c>
      <c r="D3857" s="6" t="str">
        <f>"202131022130"</f>
        <v>202131022130</v>
      </c>
      <c r="E3857" s="10" t="s">
        <v>27</v>
      </c>
      <c r="F3857" s="6" t="s">
        <v>13</v>
      </c>
      <c r="G3857" s="8">
        <v>65.45</v>
      </c>
      <c r="H3857" s="6"/>
    </row>
    <row r="3858" spans="1:8">
      <c r="A3858" s="5">
        <v>3740</v>
      </c>
      <c r="B3858" s="6" t="str">
        <f>"扈小玲"</f>
        <v>扈小玲</v>
      </c>
      <c r="C3858" s="6" t="str">
        <f t="shared" si="181"/>
        <v>女</v>
      </c>
      <c r="D3858" s="6" t="str">
        <f>"202132022201"</f>
        <v>202132022201</v>
      </c>
      <c r="E3858" s="10" t="s">
        <v>27</v>
      </c>
      <c r="F3858" s="6" t="s">
        <v>14</v>
      </c>
      <c r="G3858" s="8">
        <v>84.1</v>
      </c>
      <c r="H3858" s="6"/>
    </row>
    <row r="3859" spans="1:8">
      <c r="A3859" s="5">
        <v>3710</v>
      </c>
      <c r="B3859" s="6" t="str">
        <f>"肖慧玲"</f>
        <v>肖慧玲</v>
      </c>
      <c r="C3859" s="6" t="str">
        <f t="shared" si="181"/>
        <v>女</v>
      </c>
      <c r="D3859" s="6" t="str">
        <f>"202132022202"</f>
        <v>202132022202</v>
      </c>
      <c r="E3859" s="10" t="s">
        <v>27</v>
      </c>
      <c r="F3859" s="6" t="s">
        <v>14</v>
      </c>
      <c r="G3859" s="8">
        <v>0</v>
      </c>
      <c r="H3859" s="9">
        <v>1</v>
      </c>
    </row>
    <row r="3860" spans="1:8">
      <c r="A3860" s="5">
        <v>3743</v>
      </c>
      <c r="B3860" s="6" t="str">
        <f>"唐媛媛"</f>
        <v>唐媛媛</v>
      </c>
      <c r="C3860" s="6" t="str">
        <f t="shared" si="181"/>
        <v>女</v>
      </c>
      <c r="D3860" s="6" t="str">
        <f>"202132022203"</f>
        <v>202132022203</v>
      </c>
      <c r="E3860" s="10" t="s">
        <v>27</v>
      </c>
      <c r="F3860" s="6" t="s">
        <v>14</v>
      </c>
      <c r="G3860" s="8">
        <v>79.849999999999994</v>
      </c>
      <c r="H3860" s="6"/>
    </row>
    <row r="3861" spans="1:8">
      <c r="A3861" s="5">
        <v>3720</v>
      </c>
      <c r="B3861" s="6" t="str">
        <f>"唐颖"</f>
        <v>唐颖</v>
      </c>
      <c r="C3861" s="6" t="str">
        <f t="shared" si="181"/>
        <v>女</v>
      </c>
      <c r="D3861" s="6" t="str">
        <f>"202132022204"</f>
        <v>202132022204</v>
      </c>
      <c r="E3861" s="10" t="s">
        <v>27</v>
      </c>
      <c r="F3861" s="6" t="s">
        <v>14</v>
      </c>
      <c r="G3861" s="8">
        <v>70.05</v>
      </c>
      <c r="H3861" s="6"/>
    </row>
    <row r="3862" spans="1:8">
      <c r="A3862" s="5">
        <v>3723</v>
      </c>
      <c r="B3862" s="6" t="str">
        <f>"梁露"</f>
        <v>梁露</v>
      </c>
      <c r="C3862" s="6" t="str">
        <f t="shared" si="181"/>
        <v>女</v>
      </c>
      <c r="D3862" s="6" t="str">
        <f>"202132022205"</f>
        <v>202132022205</v>
      </c>
      <c r="E3862" s="10" t="s">
        <v>27</v>
      </c>
      <c r="F3862" s="6" t="s">
        <v>14</v>
      </c>
      <c r="G3862" s="8">
        <v>84.75</v>
      </c>
      <c r="H3862" s="6"/>
    </row>
    <row r="3863" spans="1:8">
      <c r="A3863" s="5">
        <v>3713</v>
      </c>
      <c r="B3863" s="6" t="str">
        <f>"陈永思"</f>
        <v>陈永思</v>
      </c>
      <c r="C3863" s="6" t="str">
        <f t="shared" si="181"/>
        <v>女</v>
      </c>
      <c r="D3863" s="6" t="str">
        <f>"202132022206"</f>
        <v>202132022206</v>
      </c>
      <c r="E3863" s="10" t="s">
        <v>27</v>
      </c>
      <c r="F3863" s="6" t="s">
        <v>14</v>
      </c>
      <c r="G3863" s="8">
        <v>73.099999999999994</v>
      </c>
      <c r="H3863" s="6"/>
    </row>
    <row r="3864" spans="1:8">
      <c r="A3864" s="5">
        <v>3709</v>
      </c>
      <c r="B3864" s="6" t="str">
        <f>"徐凯文"</f>
        <v>徐凯文</v>
      </c>
      <c r="C3864" s="6" t="str">
        <f t="shared" si="181"/>
        <v>女</v>
      </c>
      <c r="D3864" s="6" t="str">
        <f>"202132022207"</f>
        <v>202132022207</v>
      </c>
      <c r="E3864" s="10" t="s">
        <v>27</v>
      </c>
      <c r="F3864" s="6" t="s">
        <v>14</v>
      </c>
      <c r="G3864" s="8">
        <v>0</v>
      </c>
      <c r="H3864" s="9">
        <v>1</v>
      </c>
    </row>
    <row r="3865" spans="1:8">
      <c r="A3865" s="5">
        <v>3760</v>
      </c>
      <c r="B3865" s="6" t="str">
        <f>"蒋雨"</f>
        <v>蒋雨</v>
      </c>
      <c r="C3865" s="6" t="str">
        <f t="shared" si="181"/>
        <v>女</v>
      </c>
      <c r="D3865" s="6" t="str">
        <f>"202132022208"</f>
        <v>202132022208</v>
      </c>
      <c r="E3865" s="10" t="s">
        <v>27</v>
      </c>
      <c r="F3865" s="6" t="s">
        <v>14</v>
      </c>
      <c r="G3865" s="8">
        <v>80.7</v>
      </c>
      <c r="H3865" s="6"/>
    </row>
    <row r="3866" spans="1:8">
      <c r="A3866" s="5">
        <v>3719</v>
      </c>
      <c r="B3866" s="6" t="str">
        <f>"许婷睿"</f>
        <v>许婷睿</v>
      </c>
      <c r="C3866" s="6" t="str">
        <f t="shared" si="181"/>
        <v>女</v>
      </c>
      <c r="D3866" s="6" t="str">
        <f>"202132022209"</f>
        <v>202132022209</v>
      </c>
      <c r="E3866" s="10" t="s">
        <v>27</v>
      </c>
      <c r="F3866" s="6" t="s">
        <v>14</v>
      </c>
      <c r="G3866" s="8">
        <v>85.85</v>
      </c>
      <c r="H3866" s="6"/>
    </row>
    <row r="3867" spans="1:8">
      <c r="A3867" s="5">
        <v>3753</v>
      </c>
      <c r="B3867" s="6" t="str">
        <f>"戴婷"</f>
        <v>戴婷</v>
      </c>
      <c r="C3867" s="6" t="str">
        <f t="shared" si="181"/>
        <v>女</v>
      </c>
      <c r="D3867" s="6" t="str">
        <f>"202132022210"</f>
        <v>202132022210</v>
      </c>
      <c r="E3867" s="10" t="s">
        <v>27</v>
      </c>
      <c r="F3867" s="6" t="s">
        <v>14</v>
      </c>
      <c r="G3867" s="8">
        <v>82.5</v>
      </c>
      <c r="H3867" s="6"/>
    </row>
    <row r="3868" spans="1:8">
      <c r="A3868" s="5">
        <v>3722</v>
      </c>
      <c r="B3868" s="6" t="str">
        <f>"唐柏英"</f>
        <v>唐柏英</v>
      </c>
      <c r="C3868" s="6" t="str">
        <f t="shared" si="181"/>
        <v>女</v>
      </c>
      <c r="D3868" s="6" t="str">
        <f>"202132022211"</f>
        <v>202132022211</v>
      </c>
      <c r="E3868" s="10" t="s">
        <v>27</v>
      </c>
      <c r="F3868" s="6" t="s">
        <v>14</v>
      </c>
      <c r="G3868" s="8">
        <v>83.6</v>
      </c>
      <c r="H3868" s="6"/>
    </row>
    <row r="3869" spans="1:8">
      <c r="A3869" s="5">
        <v>3750</v>
      </c>
      <c r="B3869" s="6" t="str">
        <f>"康小兰"</f>
        <v>康小兰</v>
      </c>
      <c r="C3869" s="6" t="str">
        <f t="shared" si="181"/>
        <v>女</v>
      </c>
      <c r="D3869" s="6" t="str">
        <f>"202132022212"</f>
        <v>202132022212</v>
      </c>
      <c r="E3869" s="10" t="s">
        <v>27</v>
      </c>
      <c r="F3869" s="6" t="s">
        <v>14</v>
      </c>
      <c r="G3869" s="8">
        <v>78.05</v>
      </c>
      <c r="H3869" s="6"/>
    </row>
    <row r="3870" spans="1:8">
      <c r="A3870" s="5">
        <v>3739</v>
      </c>
      <c r="B3870" s="6" t="str">
        <f>"雷沙沙"</f>
        <v>雷沙沙</v>
      </c>
      <c r="C3870" s="6" t="str">
        <f t="shared" si="181"/>
        <v>女</v>
      </c>
      <c r="D3870" s="6" t="str">
        <f>"202132022213"</f>
        <v>202132022213</v>
      </c>
      <c r="E3870" s="10" t="s">
        <v>27</v>
      </c>
      <c r="F3870" s="6" t="s">
        <v>14</v>
      </c>
      <c r="G3870" s="8">
        <v>84.55</v>
      </c>
      <c r="H3870" s="6"/>
    </row>
    <row r="3871" spans="1:8">
      <c r="A3871" s="5">
        <v>3746</v>
      </c>
      <c r="B3871" s="6" t="str">
        <f>"兰欣"</f>
        <v>兰欣</v>
      </c>
      <c r="C3871" s="6" t="str">
        <f t="shared" si="181"/>
        <v>女</v>
      </c>
      <c r="D3871" s="6" t="str">
        <f>"202132022214"</f>
        <v>202132022214</v>
      </c>
      <c r="E3871" s="10" t="s">
        <v>27</v>
      </c>
      <c r="F3871" s="6" t="s">
        <v>14</v>
      </c>
      <c r="G3871" s="8">
        <v>81.05</v>
      </c>
      <c r="H3871" s="6"/>
    </row>
    <row r="3872" spans="1:8">
      <c r="A3872" s="5">
        <v>3729</v>
      </c>
      <c r="B3872" s="6" t="str">
        <f>"伍爽"</f>
        <v>伍爽</v>
      </c>
      <c r="C3872" s="6" t="str">
        <f t="shared" si="181"/>
        <v>女</v>
      </c>
      <c r="D3872" s="6" t="str">
        <f>"202132022215"</f>
        <v>202132022215</v>
      </c>
      <c r="E3872" s="10" t="s">
        <v>27</v>
      </c>
      <c r="F3872" s="6" t="s">
        <v>14</v>
      </c>
      <c r="G3872" s="8">
        <v>76.7</v>
      </c>
      <c r="H3872" s="6"/>
    </row>
    <row r="3873" spans="1:8">
      <c r="A3873" s="5">
        <v>3759</v>
      </c>
      <c r="B3873" s="6" t="str">
        <f>"肖桢"</f>
        <v>肖桢</v>
      </c>
      <c r="C3873" s="6" t="str">
        <f t="shared" si="181"/>
        <v>女</v>
      </c>
      <c r="D3873" s="6" t="str">
        <f>"202132022216"</f>
        <v>202132022216</v>
      </c>
      <c r="E3873" s="10" t="s">
        <v>27</v>
      </c>
      <c r="F3873" s="6" t="s">
        <v>14</v>
      </c>
      <c r="G3873" s="8">
        <v>82.8</v>
      </c>
      <c r="H3873" s="6"/>
    </row>
    <row r="3874" spans="1:8">
      <c r="A3874" s="5">
        <v>3733</v>
      </c>
      <c r="B3874" s="6" t="str">
        <f>"邓傅星"</f>
        <v>邓傅星</v>
      </c>
      <c r="C3874" s="6" t="str">
        <f t="shared" si="181"/>
        <v>女</v>
      </c>
      <c r="D3874" s="6" t="str">
        <f>"202132022217"</f>
        <v>202132022217</v>
      </c>
      <c r="E3874" s="10" t="s">
        <v>27</v>
      </c>
      <c r="F3874" s="6" t="s">
        <v>14</v>
      </c>
      <c r="G3874" s="8">
        <v>77.349999999999994</v>
      </c>
      <c r="H3874" s="6"/>
    </row>
    <row r="3875" spans="1:8">
      <c r="A3875" s="5">
        <v>3755</v>
      </c>
      <c r="B3875" s="6" t="str">
        <f>"潘玉芳"</f>
        <v>潘玉芳</v>
      </c>
      <c r="C3875" s="6" t="str">
        <f t="shared" si="181"/>
        <v>女</v>
      </c>
      <c r="D3875" s="6" t="str">
        <f>"202132022218"</f>
        <v>202132022218</v>
      </c>
      <c r="E3875" s="10" t="s">
        <v>27</v>
      </c>
      <c r="F3875" s="6" t="s">
        <v>14</v>
      </c>
      <c r="G3875" s="8">
        <v>0</v>
      </c>
      <c r="H3875" s="9">
        <v>1</v>
      </c>
    </row>
    <row r="3876" spans="1:8">
      <c r="A3876" s="5">
        <v>3730</v>
      </c>
      <c r="B3876" s="6" t="str">
        <f>"陈然"</f>
        <v>陈然</v>
      </c>
      <c r="C3876" s="6" t="str">
        <f t="shared" si="181"/>
        <v>女</v>
      </c>
      <c r="D3876" s="6" t="str">
        <f>"202132022219"</f>
        <v>202132022219</v>
      </c>
      <c r="E3876" s="10" t="s">
        <v>27</v>
      </c>
      <c r="F3876" s="6" t="s">
        <v>14</v>
      </c>
      <c r="G3876" s="8">
        <v>81.599999999999994</v>
      </c>
      <c r="H3876" s="6"/>
    </row>
    <row r="3877" spans="1:8">
      <c r="A3877" s="5">
        <v>3711</v>
      </c>
      <c r="B3877" s="6" t="str">
        <f>"李海芳"</f>
        <v>李海芳</v>
      </c>
      <c r="C3877" s="6" t="str">
        <f t="shared" si="181"/>
        <v>女</v>
      </c>
      <c r="D3877" s="6" t="str">
        <f>"202132022220"</f>
        <v>202132022220</v>
      </c>
      <c r="E3877" s="10" t="s">
        <v>27</v>
      </c>
      <c r="F3877" s="6" t="s">
        <v>14</v>
      </c>
      <c r="G3877" s="8">
        <v>0</v>
      </c>
      <c r="H3877" s="9">
        <v>1</v>
      </c>
    </row>
    <row r="3878" spans="1:8">
      <c r="A3878" s="5">
        <v>3714</v>
      </c>
      <c r="B3878" s="6" t="str">
        <f>"任倩兰"</f>
        <v>任倩兰</v>
      </c>
      <c r="C3878" s="6" t="str">
        <f t="shared" si="181"/>
        <v>女</v>
      </c>
      <c r="D3878" s="6" t="str">
        <f>"202132022221"</f>
        <v>202132022221</v>
      </c>
      <c r="E3878" s="10" t="s">
        <v>27</v>
      </c>
      <c r="F3878" s="6" t="s">
        <v>14</v>
      </c>
      <c r="G3878" s="8">
        <v>82.25</v>
      </c>
      <c r="H3878" s="6"/>
    </row>
    <row r="3879" spans="1:8">
      <c r="A3879" s="5">
        <v>3706</v>
      </c>
      <c r="B3879" s="6" t="str">
        <f>"何雯雯"</f>
        <v>何雯雯</v>
      </c>
      <c r="C3879" s="6" t="str">
        <f t="shared" si="181"/>
        <v>女</v>
      </c>
      <c r="D3879" s="6" t="str">
        <f>"202132022222"</f>
        <v>202132022222</v>
      </c>
      <c r="E3879" s="10" t="s">
        <v>27</v>
      </c>
      <c r="F3879" s="6" t="s">
        <v>14</v>
      </c>
      <c r="G3879" s="8">
        <v>83.3</v>
      </c>
      <c r="H3879" s="6"/>
    </row>
    <row r="3880" spans="1:8">
      <c r="A3880" s="5">
        <v>3748</v>
      </c>
      <c r="B3880" s="6" t="str">
        <f>"陈静"</f>
        <v>陈静</v>
      </c>
      <c r="C3880" s="6" t="str">
        <f t="shared" si="181"/>
        <v>女</v>
      </c>
      <c r="D3880" s="6" t="str">
        <f>"202132022223"</f>
        <v>202132022223</v>
      </c>
      <c r="E3880" s="10" t="s">
        <v>27</v>
      </c>
      <c r="F3880" s="6" t="s">
        <v>14</v>
      </c>
      <c r="G3880" s="8">
        <v>79.599999999999994</v>
      </c>
      <c r="H3880" s="6"/>
    </row>
    <row r="3881" spans="1:8">
      <c r="A3881" s="5">
        <v>3735</v>
      </c>
      <c r="B3881" s="6" t="str">
        <f>"夏何林"</f>
        <v>夏何林</v>
      </c>
      <c r="C3881" s="6" t="str">
        <f t="shared" si="181"/>
        <v>女</v>
      </c>
      <c r="D3881" s="6" t="str">
        <f>"202132022224"</f>
        <v>202132022224</v>
      </c>
      <c r="E3881" s="10" t="s">
        <v>27</v>
      </c>
      <c r="F3881" s="6" t="s">
        <v>14</v>
      </c>
      <c r="G3881" s="8">
        <v>82.45</v>
      </c>
      <c r="H3881" s="6"/>
    </row>
    <row r="3882" spans="1:8">
      <c r="A3882" s="5">
        <v>3751</v>
      </c>
      <c r="B3882" s="6" t="str">
        <f>"何良港"</f>
        <v>何良港</v>
      </c>
      <c r="C3882" s="6" t="str">
        <f>"男"</f>
        <v>男</v>
      </c>
      <c r="D3882" s="6" t="str">
        <f>"202132022225"</f>
        <v>202132022225</v>
      </c>
      <c r="E3882" s="10" t="s">
        <v>27</v>
      </c>
      <c r="F3882" s="6" t="s">
        <v>14</v>
      </c>
      <c r="G3882" s="8">
        <v>80.599999999999994</v>
      </c>
      <c r="H3882" s="6"/>
    </row>
    <row r="3883" spans="1:8">
      <c r="A3883" s="5">
        <v>3757</v>
      </c>
      <c r="B3883" s="6" t="str">
        <f>"黄梦兰"</f>
        <v>黄梦兰</v>
      </c>
      <c r="C3883" s="6" t="str">
        <f t="shared" ref="C3883:C3912" si="182">"女"</f>
        <v>女</v>
      </c>
      <c r="D3883" s="6" t="str">
        <f>"202132022226"</f>
        <v>202132022226</v>
      </c>
      <c r="E3883" s="10" t="s">
        <v>27</v>
      </c>
      <c r="F3883" s="6" t="s">
        <v>14</v>
      </c>
      <c r="G3883" s="8">
        <v>86</v>
      </c>
      <c r="H3883" s="6"/>
    </row>
    <row r="3884" spans="1:8">
      <c r="A3884" s="5">
        <v>3761</v>
      </c>
      <c r="B3884" s="6" t="str">
        <f>"戴敏军"</f>
        <v>戴敏军</v>
      </c>
      <c r="C3884" s="6" t="str">
        <f t="shared" si="182"/>
        <v>女</v>
      </c>
      <c r="D3884" s="6" t="str">
        <f>"202132022227"</f>
        <v>202132022227</v>
      </c>
      <c r="E3884" s="10" t="s">
        <v>27</v>
      </c>
      <c r="F3884" s="6" t="s">
        <v>14</v>
      </c>
      <c r="G3884" s="8">
        <v>85.55</v>
      </c>
      <c r="H3884" s="6"/>
    </row>
    <row r="3885" spans="1:8">
      <c r="A3885" s="5">
        <v>3707</v>
      </c>
      <c r="B3885" s="6" t="str">
        <f>"朱玲"</f>
        <v>朱玲</v>
      </c>
      <c r="C3885" s="6" t="str">
        <f t="shared" si="182"/>
        <v>女</v>
      </c>
      <c r="D3885" s="6" t="str">
        <f>"202132022228"</f>
        <v>202132022228</v>
      </c>
      <c r="E3885" s="10" t="s">
        <v>27</v>
      </c>
      <c r="F3885" s="6" t="s">
        <v>14</v>
      </c>
      <c r="G3885" s="8">
        <v>81.8</v>
      </c>
      <c r="H3885" s="6"/>
    </row>
    <row r="3886" spans="1:8">
      <c r="A3886" s="5">
        <v>3712</v>
      </c>
      <c r="B3886" s="6" t="str">
        <f>"刘其意"</f>
        <v>刘其意</v>
      </c>
      <c r="C3886" s="6" t="str">
        <f t="shared" si="182"/>
        <v>女</v>
      </c>
      <c r="D3886" s="6" t="str">
        <f>"202132022229"</f>
        <v>202132022229</v>
      </c>
      <c r="E3886" s="10" t="s">
        <v>27</v>
      </c>
      <c r="F3886" s="6" t="s">
        <v>14</v>
      </c>
      <c r="G3886" s="8">
        <v>65.5</v>
      </c>
      <c r="H3886" s="6"/>
    </row>
    <row r="3887" spans="1:8">
      <c r="A3887" s="5">
        <v>3741</v>
      </c>
      <c r="B3887" s="6" t="str">
        <f>"宁咏香"</f>
        <v>宁咏香</v>
      </c>
      <c r="C3887" s="6" t="str">
        <f t="shared" si="182"/>
        <v>女</v>
      </c>
      <c r="D3887" s="6" t="str">
        <f>"202132022230"</f>
        <v>202132022230</v>
      </c>
      <c r="E3887" s="10" t="s">
        <v>27</v>
      </c>
      <c r="F3887" s="6" t="s">
        <v>14</v>
      </c>
      <c r="G3887" s="8">
        <v>74</v>
      </c>
      <c r="H3887" s="6"/>
    </row>
    <row r="3888" spans="1:8">
      <c r="A3888" s="5">
        <v>3752</v>
      </c>
      <c r="B3888" s="6" t="str">
        <f>"贺聘"</f>
        <v>贺聘</v>
      </c>
      <c r="C3888" s="6" t="str">
        <f t="shared" si="182"/>
        <v>女</v>
      </c>
      <c r="D3888" s="6" t="str">
        <f>"202132022301"</f>
        <v>202132022301</v>
      </c>
      <c r="E3888" s="10" t="s">
        <v>27</v>
      </c>
      <c r="F3888" s="6" t="s">
        <v>14</v>
      </c>
      <c r="G3888" s="8">
        <v>84.05</v>
      </c>
      <c r="H3888" s="6"/>
    </row>
    <row r="3889" spans="1:8">
      <c r="A3889" s="5">
        <v>3726</v>
      </c>
      <c r="B3889" s="6" t="str">
        <f>"刘丹"</f>
        <v>刘丹</v>
      </c>
      <c r="C3889" s="6" t="str">
        <f t="shared" si="182"/>
        <v>女</v>
      </c>
      <c r="D3889" s="6" t="str">
        <f>"202132022302"</f>
        <v>202132022302</v>
      </c>
      <c r="E3889" s="10" t="s">
        <v>27</v>
      </c>
      <c r="F3889" s="6" t="s">
        <v>14</v>
      </c>
      <c r="G3889" s="8">
        <v>88.25</v>
      </c>
      <c r="H3889" s="6"/>
    </row>
    <row r="3890" spans="1:8">
      <c r="A3890" s="5">
        <v>3724</v>
      </c>
      <c r="B3890" s="6" t="str">
        <f>"朱敏"</f>
        <v>朱敏</v>
      </c>
      <c r="C3890" s="6" t="str">
        <f t="shared" si="182"/>
        <v>女</v>
      </c>
      <c r="D3890" s="6" t="str">
        <f>"202132022303"</f>
        <v>202132022303</v>
      </c>
      <c r="E3890" s="10" t="s">
        <v>27</v>
      </c>
      <c r="F3890" s="6" t="s">
        <v>14</v>
      </c>
      <c r="G3890" s="8">
        <v>72.400000000000006</v>
      </c>
      <c r="H3890" s="6"/>
    </row>
    <row r="3891" spans="1:8">
      <c r="A3891" s="5">
        <v>3717</v>
      </c>
      <c r="B3891" s="6" t="str">
        <f>"周姣"</f>
        <v>周姣</v>
      </c>
      <c r="C3891" s="6" t="str">
        <f t="shared" si="182"/>
        <v>女</v>
      </c>
      <c r="D3891" s="6" t="str">
        <f>"202132022304"</f>
        <v>202132022304</v>
      </c>
      <c r="E3891" s="10" t="s">
        <v>27</v>
      </c>
      <c r="F3891" s="6" t="s">
        <v>14</v>
      </c>
      <c r="G3891" s="8">
        <v>82.05</v>
      </c>
      <c r="H3891" s="6"/>
    </row>
    <row r="3892" spans="1:8">
      <c r="A3892" s="5">
        <v>3736</v>
      </c>
      <c r="B3892" s="6" t="str">
        <f>"李琴"</f>
        <v>李琴</v>
      </c>
      <c r="C3892" s="6" t="str">
        <f t="shared" si="182"/>
        <v>女</v>
      </c>
      <c r="D3892" s="6" t="str">
        <f>"202132022305"</f>
        <v>202132022305</v>
      </c>
      <c r="E3892" s="10" t="s">
        <v>27</v>
      </c>
      <c r="F3892" s="6" t="s">
        <v>14</v>
      </c>
      <c r="G3892" s="8">
        <v>86.8</v>
      </c>
      <c r="H3892" s="6"/>
    </row>
    <row r="3893" spans="1:8">
      <c r="A3893" s="5">
        <v>3725</v>
      </c>
      <c r="B3893" s="6" t="str">
        <f>"赵翠萍"</f>
        <v>赵翠萍</v>
      </c>
      <c r="C3893" s="6" t="str">
        <f t="shared" si="182"/>
        <v>女</v>
      </c>
      <c r="D3893" s="6" t="str">
        <f>"202132022306"</f>
        <v>202132022306</v>
      </c>
      <c r="E3893" s="10" t="s">
        <v>27</v>
      </c>
      <c r="F3893" s="6" t="s">
        <v>14</v>
      </c>
      <c r="G3893" s="8">
        <v>83.05</v>
      </c>
      <c r="H3893" s="6"/>
    </row>
    <row r="3894" spans="1:8">
      <c r="A3894" s="5">
        <v>3721</v>
      </c>
      <c r="B3894" s="6" t="str">
        <f>"陈明"</f>
        <v>陈明</v>
      </c>
      <c r="C3894" s="6" t="str">
        <f t="shared" si="182"/>
        <v>女</v>
      </c>
      <c r="D3894" s="6" t="str">
        <f>"202132022307"</f>
        <v>202132022307</v>
      </c>
      <c r="E3894" s="10" t="s">
        <v>27</v>
      </c>
      <c r="F3894" s="6" t="s">
        <v>14</v>
      </c>
      <c r="G3894" s="8">
        <v>76.95</v>
      </c>
      <c r="H3894" s="6"/>
    </row>
    <row r="3895" spans="1:8">
      <c r="A3895" s="5">
        <v>3718</v>
      </c>
      <c r="B3895" s="6" t="str">
        <f>"李静"</f>
        <v>李静</v>
      </c>
      <c r="C3895" s="6" t="str">
        <f t="shared" si="182"/>
        <v>女</v>
      </c>
      <c r="D3895" s="6" t="str">
        <f>"202132022308"</f>
        <v>202132022308</v>
      </c>
      <c r="E3895" s="10" t="s">
        <v>27</v>
      </c>
      <c r="F3895" s="6" t="s">
        <v>14</v>
      </c>
      <c r="G3895" s="8">
        <v>70.7</v>
      </c>
      <c r="H3895" s="6"/>
    </row>
    <row r="3896" spans="1:8">
      <c r="A3896" s="5">
        <v>3728</v>
      </c>
      <c r="B3896" s="6" t="str">
        <f>"金思"</f>
        <v>金思</v>
      </c>
      <c r="C3896" s="6" t="str">
        <f t="shared" si="182"/>
        <v>女</v>
      </c>
      <c r="D3896" s="6" t="str">
        <f>"202132022309"</f>
        <v>202132022309</v>
      </c>
      <c r="E3896" s="10" t="s">
        <v>27</v>
      </c>
      <c r="F3896" s="6" t="s">
        <v>14</v>
      </c>
      <c r="G3896" s="8">
        <v>78.5</v>
      </c>
      <c r="H3896" s="6"/>
    </row>
    <row r="3897" spans="1:8">
      <c r="A3897" s="5">
        <v>3727</v>
      </c>
      <c r="B3897" s="6" t="str">
        <f>"彭霞"</f>
        <v>彭霞</v>
      </c>
      <c r="C3897" s="6" t="str">
        <f t="shared" si="182"/>
        <v>女</v>
      </c>
      <c r="D3897" s="6" t="str">
        <f>"202132022310"</f>
        <v>202132022310</v>
      </c>
      <c r="E3897" s="10" t="s">
        <v>27</v>
      </c>
      <c r="F3897" s="6" t="s">
        <v>14</v>
      </c>
      <c r="G3897" s="8">
        <v>75.5</v>
      </c>
      <c r="H3897" s="6"/>
    </row>
    <row r="3898" spans="1:8">
      <c r="A3898" s="5">
        <v>3734</v>
      </c>
      <c r="B3898" s="6" t="str">
        <f>"况丹丹"</f>
        <v>况丹丹</v>
      </c>
      <c r="C3898" s="6" t="str">
        <f t="shared" si="182"/>
        <v>女</v>
      </c>
      <c r="D3898" s="6" t="str">
        <f>"202132022311"</f>
        <v>202132022311</v>
      </c>
      <c r="E3898" s="10" t="s">
        <v>27</v>
      </c>
      <c r="F3898" s="6" t="s">
        <v>14</v>
      </c>
      <c r="G3898" s="8">
        <v>75</v>
      </c>
      <c r="H3898" s="6"/>
    </row>
    <row r="3899" spans="1:8">
      <c r="A3899" s="5">
        <v>3754</v>
      </c>
      <c r="B3899" s="6" t="str">
        <f>"陈雅捷"</f>
        <v>陈雅捷</v>
      </c>
      <c r="C3899" s="6" t="str">
        <f t="shared" si="182"/>
        <v>女</v>
      </c>
      <c r="D3899" s="6" t="str">
        <f>"202132022312"</f>
        <v>202132022312</v>
      </c>
      <c r="E3899" s="10" t="s">
        <v>27</v>
      </c>
      <c r="F3899" s="6" t="s">
        <v>14</v>
      </c>
      <c r="G3899" s="8">
        <v>78.400000000000006</v>
      </c>
      <c r="H3899" s="6"/>
    </row>
    <row r="3900" spans="1:8">
      <c r="A3900" s="5">
        <v>3737</v>
      </c>
      <c r="B3900" s="6" t="str">
        <f>"邓芳芝"</f>
        <v>邓芳芝</v>
      </c>
      <c r="C3900" s="6" t="str">
        <f t="shared" si="182"/>
        <v>女</v>
      </c>
      <c r="D3900" s="6" t="str">
        <f>"202132022313"</f>
        <v>202132022313</v>
      </c>
      <c r="E3900" s="10" t="s">
        <v>27</v>
      </c>
      <c r="F3900" s="6" t="s">
        <v>14</v>
      </c>
      <c r="G3900" s="8">
        <v>84.85</v>
      </c>
      <c r="H3900" s="6"/>
    </row>
    <row r="3901" spans="1:8">
      <c r="A3901" s="5">
        <v>3731</v>
      </c>
      <c r="B3901" s="6" t="str">
        <f>"陈敏"</f>
        <v>陈敏</v>
      </c>
      <c r="C3901" s="6" t="str">
        <f t="shared" si="182"/>
        <v>女</v>
      </c>
      <c r="D3901" s="6" t="str">
        <f>"202132022314"</f>
        <v>202132022314</v>
      </c>
      <c r="E3901" s="10" t="s">
        <v>27</v>
      </c>
      <c r="F3901" s="6" t="s">
        <v>14</v>
      </c>
      <c r="G3901" s="8">
        <v>80.8</v>
      </c>
      <c r="H3901" s="6"/>
    </row>
    <row r="3902" spans="1:8">
      <c r="A3902" s="5">
        <v>3744</v>
      </c>
      <c r="B3902" s="6" t="str">
        <f>"陶敏倩"</f>
        <v>陶敏倩</v>
      </c>
      <c r="C3902" s="6" t="str">
        <f t="shared" si="182"/>
        <v>女</v>
      </c>
      <c r="D3902" s="6" t="str">
        <f>"202132022315"</f>
        <v>202132022315</v>
      </c>
      <c r="E3902" s="10" t="s">
        <v>27</v>
      </c>
      <c r="F3902" s="6" t="s">
        <v>14</v>
      </c>
      <c r="G3902" s="8">
        <v>68.400000000000006</v>
      </c>
      <c r="H3902" s="6"/>
    </row>
    <row r="3903" spans="1:8">
      <c r="A3903" s="5">
        <v>3708</v>
      </c>
      <c r="B3903" s="6" t="str">
        <f>"刘颖"</f>
        <v>刘颖</v>
      </c>
      <c r="C3903" s="6" t="str">
        <f t="shared" si="182"/>
        <v>女</v>
      </c>
      <c r="D3903" s="6" t="str">
        <f>"202132022316"</f>
        <v>202132022316</v>
      </c>
      <c r="E3903" s="10" t="s">
        <v>27</v>
      </c>
      <c r="F3903" s="6" t="s">
        <v>14</v>
      </c>
      <c r="G3903" s="8">
        <v>77.599999999999994</v>
      </c>
      <c r="H3903" s="6"/>
    </row>
    <row r="3904" spans="1:8">
      <c r="A3904" s="5">
        <v>3747</v>
      </c>
      <c r="B3904" s="6" t="str">
        <f>"阮鑫怡"</f>
        <v>阮鑫怡</v>
      </c>
      <c r="C3904" s="6" t="str">
        <f t="shared" si="182"/>
        <v>女</v>
      </c>
      <c r="D3904" s="6" t="str">
        <f>"202132022317"</f>
        <v>202132022317</v>
      </c>
      <c r="E3904" s="10" t="s">
        <v>27</v>
      </c>
      <c r="F3904" s="6" t="s">
        <v>14</v>
      </c>
      <c r="G3904" s="8">
        <v>84.75</v>
      </c>
      <c r="H3904" s="6"/>
    </row>
    <row r="3905" spans="1:8">
      <c r="A3905" s="5">
        <v>3756</v>
      </c>
      <c r="B3905" s="6" t="str">
        <f>"陈洋洋"</f>
        <v>陈洋洋</v>
      </c>
      <c r="C3905" s="6" t="str">
        <f t="shared" si="182"/>
        <v>女</v>
      </c>
      <c r="D3905" s="6" t="str">
        <f>"202132022318"</f>
        <v>202132022318</v>
      </c>
      <c r="E3905" s="10" t="s">
        <v>27</v>
      </c>
      <c r="F3905" s="6" t="s">
        <v>14</v>
      </c>
      <c r="G3905" s="8">
        <v>78.349999999999994</v>
      </c>
      <c r="H3905" s="6"/>
    </row>
    <row r="3906" spans="1:8">
      <c r="A3906" s="5">
        <v>3758</v>
      </c>
      <c r="B3906" s="6" t="str">
        <f>"简经艳"</f>
        <v>简经艳</v>
      </c>
      <c r="C3906" s="6" t="str">
        <f t="shared" si="182"/>
        <v>女</v>
      </c>
      <c r="D3906" s="6" t="str">
        <f>"202132022319"</f>
        <v>202132022319</v>
      </c>
      <c r="E3906" s="10" t="s">
        <v>27</v>
      </c>
      <c r="F3906" s="6" t="s">
        <v>14</v>
      </c>
      <c r="G3906" s="8">
        <v>73.349999999999994</v>
      </c>
      <c r="H3906" s="6"/>
    </row>
    <row r="3907" spans="1:8">
      <c r="A3907" s="5">
        <v>3749</v>
      </c>
      <c r="B3907" s="6" t="str">
        <f>"邹思语"</f>
        <v>邹思语</v>
      </c>
      <c r="C3907" s="6" t="str">
        <f t="shared" si="182"/>
        <v>女</v>
      </c>
      <c r="D3907" s="6" t="str">
        <f>"202132022320"</f>
        <v>202132022320</v>
      </c>
      <c r="E3907" s="10" t="s">
        <v>27</v>
      </c>
      <c r="F3907" s="6" t="s">
        <v>14</v>
      </c>
      <c r="G3907" s="8">
        <v>83.85</v>
      </c>
      <c r="H3907" s="6"/>
    </row>
    <row r="3908" spans="1:8">
      <c r="A3908" s="5">
        <v>3715</v>
      </c>
      <c r="B3908" s="6" t="str">
        <f>"高芳艳"</f>
        <v>高芳艳</v>
      </c>
      <c r="C3908" s="6" t="str">
        <f t="shared" si="182"/>
        <v>女</v>
      </c>
      <c r="D3908" s="6" t="str">
        <f>"202132022321"</f>
        <v>202132022321</v>
      </c>
      <c r="E3908" s="10" t="s">
        <v>27</v>
      </c>
      <c r="F3908" s="6" t="s">
        <v>14</v>
      </c>
      <c r="G3908" s="8">
        <v>0</v>
      </c>
      <c r="H3908" s="9">
        <v>1</v>
      </c>
    </row>
    <row r="3909" spans="1:8">
      <c r="A3909" s="5">
        <v>3745</v>
      </c>
      <c r="B3909" s="6" t="str">
        <f>"张雅琪"</f>
        <v>张雅琪</v>
      </c>
      <c r="C3909" s="6" t="str">
        <f t="shared" si="182"/>
        <v>女</v>
      </c>
      <c r="D3909" s="6" t="str">
        <f>"202132022322"</f>
        <v>202132022322</v>
      </c>
      <c r="E3909" s="10" t="s">
        <v>27</v>
      </c>
      <c r="F3909" s="6" t="s">
        <v>14</v>
      </c>
      <c r="G3909" s="8">
        <v>79.900000000000006</v>
      </c>
      <c r="H3909" s="6"/>
    </row>
    <row r="3910" spans="1:8">
      <c r="A3910" s="5">
        <v>3742</v>
      </c>
      <c r="B3910" s="6" t="str">
        <f>"罗娜"</f>
        <v>罗娜</v>
      </c>
      <c r="C3910" s="6" t="str">
        <f t="shared" si="182"/>
        <v>女</v>
      </c>
      <c r="D3910" s="6" t="str">
        <f>"202132022323"</f>
        <v>202132022323</v>
      </c>
      <c r="E3910" s="10" t="s">
        <v>27</v>
      </c>
      <c r="F3910" s="6" t="s">
        <v>14</v>
      </c>
      <c r="G3910" s="8">
        <v>86.15</v>
      </c>
      <c r="H3910" s="6"/>
    </row>
    <row r="3911" spans="1:8">
      <c r="A3911" s="5">
        <v>3738</v>
      </c>
      <c r="B3911" s="6" t="str">
        <f>"曾敏"</f>
        <v>曾敏</v>
      </c>
      <c r="C3911" s="6" t="str">
        <f t="shared" si="182"/>
        <v>女</v>
      </c>
      <c r="D3911" s="6" t="str">
        <f>"202132022324"</f>
        <v>202132022324</v>
      </c>
      <c r="E3911" s="10" t="s">
        <v>27</v>
      </c>
      <c r="F3911" s="6" t="s">
        <v>14</v>
      </c>
      <c r="G3911" s="8">
        <v>80.849999999999994</v>
      </c>
      <c r="H3911" s="6"/>
    </row>
    <row r="3912" spans="1:8">
      <c r="A3912" s="5">
        <v>3732</v>
      </c>
      <c r="B3912" s="6" t="str">
        <f>"曾茜"</f>
        <v>曾茜</v>
      </c>
      <c r="C3912" s="6" t="str">
        <f t="shared" si="182"/>
        <v>女</v>
      </c>
      <c r="D3912" s="6" t="str">
        <f>"202132022325"</f>
        <v>202132022325</v>
      </c>
      <c r="E3912" s="10" t="s">
        <v>27</v>
      </c>
      <c r="F3912" s="6" t="s">
        <v>14</v>
      </c>
      <c r="G3912" s="8">
        <v>85.4</v>
      </c>
      <c r="H3912" s="6"/>
    </row>
    <row r="3913" spans="1:8">
      <c r="A3913" s="5">
        <v>3762</v>
      </c>
      <c r="B3913" s="6" t="str">
        <f>"肖松筠"</f>
        <v>肖松筠</v>
      </c>
      <c r="C3913" s="6" t="str">
        <f>"男"</f>
        <v>男</v>
      </c>
      <c r="D3913" s="6" t="str">
        <f>"202132022326"</f>
        <v>202132022326</v>
      </c>
      <c r="E3913" s="10" t="s">
        <v>27</v>
      </c>
      <c r="F3913" s="6" t="s">
        <v>14</v>
      </c>
      <c r="G3913" s="8">
        <v>75.7</v>
      </c>
      <c r="H3913" s="6"/>
    </row>
    <row r="3914" spans="1:8">
      <c r="A3914" s="5">
        <v>3716</v>
      </c>
      <c r="B3914" s="6" t="str">
        <f>"曾露"</f>
        <v>曾露</v>
      </c>
      <c r="C3914" s="6" t="str">
        <f>"女"</f>
        <v>女</v>
      </c>
      <c r="D3914" s="6" t="str">
        <f>"202132022327"</f>
        <v>202132022327</v>
      </c>
      <c r="E3914" s="10" t="s">
        <v>27</v>
      </c>
      <c r="F3914" s="6" t="s">
        <v>14</v>
      </c>
      <c r="G3914" s="8">
        <v>77.599999999999994</v>
      </c>
      <c r="H3914" s="6"/>
    </row>
    <row r="3915" spans="1:8">
      <c r="A3915" s="5">
        <v>3779</v>
      </c>
      <c r="B3915" s="6" t="str">
        <f>"许洋"</f>
        <v>许洋</v>
      </c>
      <c r="C3915" s="6" t="str">
        <f>"女"</f>
        <v>女</v>
      </c>
      <c r="D3915" s="6" t="str">
        <f>"202133040627"</f>
        <v>202133040627</v>
      </c>
      <c r="E3915" s="10" t="s">
        <v>27</v>
      </c>
      <c r="F3915" s="6" t="s">
        <v>21</v>
      </c>
      <c r="G3915" s="8">
        <v>69.2</v>
      </c>
      <c r="H3915" s="6"/>
    </row>
    <row r="3916" spans="1:8">
      <c r="A3916" s="5">
        <v>3767</v>
      </c>
      <c r="B3916" s="6" t="str">
        <f>"邱书晴"</f>
        <v>邱书晴</v>
      </c>
      <c r="C3916" s="6" t="str">
        <f>"女"</f>
        <v>女</v>
      </c>
      <c r="D3916" s="6" t="str">
        <f>"202133040628"</f>
        <v>202133040628</v>
      </c>
      <c r="E3916" s="10" t="s">
        <v>27</v>
      </c>
      <c r="F3916" s="6" t="s">
        <v>21</v>
      </c>
      <c r="G3916" s="8">
        <v>52.85</v>
      </c>
      <c r="H3916" s="6"/>
    </row>
    <row r="3917" spans="1:8">
      <c r="A3917" s="5">
        <v>3769</v>
      </c>
      <c r="B3917" s="6" t="str">
        <f>"唐乐佩"</f>
        <v>唐乐佩</v>
      </c>
      <c r="C3917" s="6" t="str">
        <f>"女"</f>
        <v>女</v>
      </c>
      <c r="D3917" s="6" t="str">
        <f>"202133040629"</f>
        <v>202133040629</v>
      </c>
      <c r="E3917" s="10" t="s">
        <v>27</v>
      </c>
      <c r="F3917" s="6" t="s">
        <v>21</v>
      </c>
      <c r="G3917" s="8">
        <v>59.5</v>
      </c>
      <c r="H3917" s="6"/>
    </row>
    <row r="3918" spans="1:8">
      <c r="A3918" s="5">
        <v>3772</v>
      </c>
      <c r="B3918" s="6" t="str">
        <f>"龙恒宇"</f>
        <v>龙恒宇</v>
      </c>
      <c r="C3918" s="6" t="str">
        <f>"男"</f>
        <v>男</v>
      </c>
      <c r="D3918" s="6" t="str">
        <f>"202133040630"</f>
        <v>202133040630</v>
      </c>
      <c r="E3918" s="10" t="s">
        <v>27</v>
      </c>
      <c r="F3918" s="6" t="s">
        <v>21</v>
      </c>
      <c r="G3918" s="8">
        <v>65.7</v>
      </c>
      <c r="H3918" s="6"/>
    </row>
    <row r="3919" spans="1:8">
      <c r="A3919" s="5">
        <v>3784</v>
      </c>
      <c r="B3919" s="6" t="str">
        <f>"马昆凤"</f>
        <v>马昆凤</v>
      </c>
      <c r="C3919" s="6" t="str">
        <f t="shared" ref="C3919:C3927" si="183">"女"</f>
        <v>女</v>
      </c>
      <c r="D3919" s="6" t="str">
        <f>"202133041001"</f>
        <v>202133041001</v>
      </c>
      <c r="E3919" s="10" t="s">
        <v>27</v>
      </c>
      <c r="F3919" s="6" t="s">
        <v>21</v>
      </c>
      <c r="G3919" s="8">
        <v>39.35</v>
      </c>
      <c r="H3919" s="6"/>
    </row>
    <row r="3920" spans="1:8">
      <c r="A3920" s="5">
        <v>3776</v>
      </c>
      <c r="B3920" s="6" t="str">
        <f>"潘懿星"</f>
        <v>潘懿星</v>
      </c>
      <c r="C3920" s="6" t="str">
        <f t="shared" si="183"/>
        <v>女</v>
      </c>
      <c r="D3920" s="6" t="str">
        <f>"202133041002"</f>
        <v>202133041002</v>
      </c>
      <c r="E3920" s="10" t="s">
        <v>27</v>
      </c>
      <c r="F3920" s="6" t="s">
        <v>21</v>
      </c>
      <c r="G3920" s="8">
        <v>73.150000000000006</v>
      </c>
      <c r="H3920" s="6"/>
    </row>
    <row r="3921" spans="1:8">
      <c r="A3921" s="5">
        <v>3770</v>
      </c>
      <c r="B3921" s="6" t="str">
        <f>"陈叶亦鸣"</f>
        <v>陈叶亦鸣</v>
      </c>
      <c r="C3921" s="6" t="str">
        <f t="shared" si="183"/>
        <v>女</v>
      </c>
      <c r="D3921" s="6" t="str">
        <f>"202133041003"</f>
        <v>202133041003</v>
      </c>
      <c r="E3921" s="10" t="s">
        <v>27</v>
      </c>
      <c r="F3921" s="6" t="s">
        <v>21</v>
      </c>
      <c r="G3921" s="8">
        <v>67.55</v>
      </c>
      <c r="H3921" s="6"/>
    </row>
    <row r="3922" spans="1:8">
      <c r="A3922" s="5">
        <v>3783</v>
      </c>
      <c r="B3922" s="6" t="str">
        <f>"何莎莎"</f>
        <v>何莎莎</v>
      </c>
      <c r="C3922" s="6" t="str">
        <f t="shared" si="183"/>
        <v>女</v>
      </c>
      <c r="D3922" s="6" t="str">
        <f>"202133041004"</f>
        <v>202133041004</v>
      </c>
      <c r="E3922" s="10" t="s">
        <v>27</v>
      </c>
      <c r="F3922" s="6" t="s">
        <v>21</v>
      </c>
      <c r="G3922" s="8">
        <v>54.3</v>
      </c>
      <c r="H3922" s="6"/>
    </row>
    <row r="3923" spans="1:8">
      <c r="A3923" s="5">
        <v>3777</v>
      </c>
      <c r="B3923" s="6" t="str">
        <f>"胡慧"</f>
        <v>胡慧</v>
      </c>
      <c r="C3923" s="6" t="str">
        <f t="shared" si="183"/>
        <v>女</v>
      </c>
      <c r="D3923" s="6" t="str">
        <f>"202133041005"</f>
        <v>202133041005</v>
      </c>
      <c r="E3923" s="10" t="s">
        <v>27</v>
      </c>
      <c r="F3923" s="6" t="s">
        <v>21</v>
      </c>
      <c r="G3923" s="8">
        <v>67.599999999999994</v>
      </c>
      <c r="H3923" s="6"/>
    </row>
    <row r="3924" spans="1:8">
      <c r="A3924" s="5">
        <v>3766</v>
      </c>
      <c r="B3924" s="6" t="str">
        <f>"李可盈"</f>
        <v>李可盈</v>
      </c>
      <c r="C3924" s="6" t="str">
        <f t="shared" si="183"/>
        <v>女</v>
      </c>
      <c r="D3924" s="6" t="str">
        <f>"202133041006"</f>
        <v>202133041006</v>
      </c>
      <c r="E3924" s="10" t="s">
        <v>27</v>
      </c>
      <c r="F3924" s="6" t="s">
        <v>21</v>
      </c>
      <c r="G3924" s="8">
        <v>62.9</v>
      </c>
      <c r="H3924" s="6"/>
    </row>
    <row r="3925" spans="1:8">
      <c r="A3925" s="5">
        <v>3773</v>
      </c>
      <c r="B3925" s="6" t="str">
        <f>"黄小英"</f>
        <v>黄小英</v>
      </c>
      <c r="C3925" s="6" t="str">
        <f t="shared" si="183"/>
        <v>女</v>
      </c>
      <c r="D3925" s="6" t="str">
        <f>"202133041007"</f>
        <v>202133041007</v>
      </c>
      <c r="E3925" s="10" t="s">
        <v>27</v>
      </c>
      <c r="F3925" s="6" t="s">
        <v>21</v>
      </c>
      <c r="G3925" s="8">
        <v>0</v>
      </c>
      <c r="H3925" s="9">
        <v>1</v>
      </c>
    </row>
    <row r="3926" spans="1:8">
      <c r="A3926" s="5">
        <v>3778</v>
      </c>
      <c r="B3926" s="6" t="str">
        <f>"吴畅"</f>
        <v>吴畅</v>
      </c>
      <c r="C3926" s="6" t="str">
        <f t="shared" si="183"/>
        <v>女</v>
      </c>
      <c r="D3926" s="6" t="str">
        <f>"202133041008"</f>
        <v>202133041008</v>
      </c>
      <c r="E3926" s="10" t="s">
        <v>27</v>
      </c>
      <c r="F3926" s="6" t="s">
        <v>21</v>
      </c>
      <c r="G3926" s="8">
        <v>44.85</v>
      </c>
      <c r="H3926" s="6"/>
    </row>
    <row r="3927" spans="1:8">
      <c r="A3927" s="5">
        <v>3765</v>
      </c>
      <c r="B3927" s="6" t="str">
        <f>"李鑫"</f>
        <v>李鑫</v>
      </c>
      <c r="C3927" s="6" t="str">
        <f t="shared" si="183"/>
        <v>女</v>
      </c>
      <c r="D3927" s="6" t="str">
        <f>"202133041009"</f>
        <v>202133041009</v>
      </c>
      <c r="E3927" s="10" t="s">
        <v>27</v>
      </c>
      <c r="F3927" s="6" t="s">
        <v>21</v>
      </c>
      <c r="G3927" s="8">
        <v>0</v>
      </c>
      <c r="H3927" s="9">
        <v>1</v>
      </c>
    </row>
    <row r="3928" spans="1:8">
      <c r="A3928" s="5">
        <v>3774</v>
      </c>
      <c r="B3928" s="6" t="str">
        <f>"时鸿勇"</f>
        <v>时鸿勇</v>
      </c>
      <c r="C3928" s="6" t="str">
        <f>"男"</f>
        <v>男</v>
      </c>
      <c r="D3928" s="6" t="str">
        <f>"202133041010"</f>
        <v>202133041010</v>
      </c>
      <c r="E3928" s="10" t="s">
        <v>27</v>
      </c>
      <c r="F3928" s="6" t="s">
        <v>21</v>
      </c>
      <c r="G3928" s="8">
        <v>0</v>
      </c>
      <c r="H3928" s="9">
        <v>1</v>
      </c>
    </row>
    <row r="3929" spans="1:8">
      <c r="A3929" s="5">
        <v>3775</v>
      </c>
      <c r="B3929" s="6" t="str">
        <f>"倪玉"</f>
        <v>倪玉</v>
      </c>
      <c r="C3929" s="6" t="str">
        <f>"男"</f>
        <v>男</v>
      </c>
      <c r="D3929" s="6" t="str">
        <f>"202133041011"</f>
        <v>202133041011</v>
      </c>
      <c r="E3929" s="10" t="s">
        <v>27</v>
      </c>
      <c r="F3929" s="6" t="s">
        <v>21</v>
      </c>
      <c r="G3929" s="8">
        <v>60.75</v>
      </c>
      <c r="H3929" s="6"/>
    </row>
    <row r="3930" spans="1:8">
      <c r="A3930" s="5">
        <v>3763</v>
      </c>
      <c r="B3930" s="6" t="str">
        <f>"罗晶"</f>
        <v>罗晶</v>
      </c>
      <c r="C3930" s="6" t="str">
        <f>"女"</f>
        <v>女</v>
      </c>
      <c r="D3930" s="6" t="str">
        <f>"202133041012"</f>
        <v>202133041012</v>
      </c>
      <c r="E3930" s="10" t="s">
        <v>27</v>
      </c>
      <c r="F3930" s="6" t="s">
        <v>21</v>
      </c>
      <c r="G3930" s="8">
        <v>0</v>
      </c>
      <c r="H3930" s="9">
        <v>1</v>
      </c>
    </row>
    <row r="3931" spans="1:8">
      <c r="A3931" s="5">
        <v>3785</v>
      </c>
      <c r="B3931" s="6" t="str">
        <f>"曾娟"</f>
        <v>曾娟</v>
      </c>
      <c r="C3931" s="6" t="str">
        <f>"女"</f>
        <v>女</v>
      </c>
      <c r="D3931" s="6" t="str">
        <f>"202133041013"</f>
        <v>202133041013</v>
      </c>
      <c r="E3931" s="10" t="s">
        <v>27</v>
      </c>
      <c r="F3931" s="6" t="s">
        <v>21</v>
      </c>
      <c r="G3931" s="8">
        <v>67.45</v>
      </c>
      <c r="H3931" s="6"/>
    </row>
    <row r="3932" spans="1:8">
      <c r="A3932" s="5">
        <v>3771</v>
      </c>
      <c r="B3932" s="6" t="str">
        <f>"李艳阳"</f>
        <v>李艳阳</v>
      </c>
      <c r="C3932" s="6" t="str">
        <f>"女"</f>
        <v>女</v>
      </c>
      <c r="D3932" s="6" t="str">
        <f>"202133041014"</f>
        <v>202133041014</v>
      </c>
      <c r="E3932" s="10" t="s">
        <v>27</v>
      </c>
      <c r="F3932" s="6" t="s">
        <v>21</v>
      </c>
      <c r="G3932" s="8">
        <v>59.85</v>
      </c>
      <c r="H3932" s="6"/>
    </row>
    <row r="3933" spans="1:8">
      <c r="A3933" s="5">
        <v>3781</v>
      </c>
      <c r="B3933" s="6" t="str">
        <f>"杨凌雁"</f>
        <v>杨凌雁</v>
      </c>
      <c r="C3933" s="6" t="str">
        <f>"女"</f>
        <v>女</v>
      </c>
      <c r="D3933" s="6" t="str">
        <f>"202133041015"</f>
        <v>202133041015</v>
      </c>
      <c r="E3933" s="10" t="s">
        <v>27</v>
      </c>
      <c r="F3933" s="6" t="s">
        <v>21</v>
      </c>
      <c r="G3933" s="8">
        <v>71.55</v>
      </c>
      <c r="H3933" s="6"/>
    </row>
    <row r="3934" spans="1:8">
      <c r="A3934" s="5">
        <v>3768</v>
      </c>
      <c r="B3934" s="6" t="str">
        <f>"海波"</f>
        <v>海波</v>
      </c>
      <c r="C3934" s="6" t="str">
        <f>"女"</f>
        <v>女</v>
      </c>
      <c r="D3934" s="6" t="str">
        <f>"202133041016"</f>
        <v>202133041016</v>
      </c>
      <c r="E3934" s="10" t="s">
        <v>27</v>
      </c>
      <c r="F3934" s="6" t="s">
        <v>21</v>
      </c>
      <c r="G3934" s="8">
        <v>57.75</v>
      </c>
      <c r="H3934" s="6"/>
    </row>
    <row r="3935" spans="1:8">
      <c r="A3935" s="5">
        <v>3780</v>
      </c>
      <c r="B3935" s="6" t="str">
        <f>"龙斌"</f>
        <v>龙斌</v>
      </c>
      <c r="C3935" s="6" t="str">
        <f>"男"</f>
        <v>男</v>
      </c>
      <c r="D3935" s="6" t="str">
        <f>"202133041017"</f>
        <v>202133041017</v>
      </c>
      <c r="E3935" s="10" t="s">
        <v>27</v>
      </c>
      <c r="F3935" s="6" t="s">
        <v>21</v>
      </c>
      <c r="G3935" s="8">
        <v>0</v>
      </c>
      <c r="H3935" s="9">
        <v>1</v>
      </c>
    </row>
    <row r="3936" spans="1:8">
      <c r="A3936" s="5">
        <v>3764</v>
      </c>
      <c r="B3936" s="6" t="str">
        <f>"朱婧"</f>
        <v>朱婧</v>
      </c>
      <c r="C3936" s="6" t="str">
        <f>"女"</f>
        <v>女</v>
      </c>
      <c r="D3936" s="6" t="str">
        <f>"202133041018"</f>
        <v>202133041018</v>
      </c>
      <c r="E3936" s="10" t="s">
        <v>27</v>
      </c>
      <c r="F3936" s="6" t="s">
        <v>21</v>
      </c>
      <c r="G3936" s="8">
        <v>0</v>
      </c>
      <c r="H3936" s="9">
        <v>1</v>
      </c>
    </row>
    <row r="3937" spans="1:8">
      <c r="A3937" s="5">
        <v>3782</v>
      </c>
      <c r="B3937" s="6" t="str">
        <f>"杜权韬"</f>
        <v>杜权韬</v>
      </c>
      <c r="C3937" s="6" t="str">
        <f t="shared" ref="C3937:C3942" si="184">"男"</f>
        <v>男</v>
      </c>
      <c r="D3937" s="6" t="str">
        <f>"202133041019"</f>
        <v>202133041019</v>
      </c>
      <c r="E3937" s="10" t="s">
        <v>27</v>
      </c>
      <c r="F3937" s="6" t="s">
        <v>21</v>
      </c>
      <c r="G3937" s="8">
        <v>55.7</v>
      </c>
      <c r="H3937" s="6"/>
    </row>
    <row r="3938" spans="1:8">
      <c r="A3938" s="5">
        <v>3788</v>
      </c>
      <c r="B3938" s="6" t="str">
        <f>"佘群"</f>
        <v>佘群</v>
      </c>
      <c r="C3938" s="6" t="str">
        <f t="shared" si="184"/>
        <v>男</v>
      </c>
      <c r="D3938" s="6" t="str">
        <f>"202134040916"</f>
        <v>202134040916</v>
      </c>
      <c r="E3938" s="10" t="s">
        <v>27</v>
      </c>
      <c r="F3938" s="6" t="s">
        <v>23</v>
      </c>
      <c r="G3938" s="8">
        <v>49.35</v>
      </c>
      <c r="H3938" s="6"/>
    </row>
    <row r="3939" spans="1:8">
      <c r="A3939" s="5">
        <v>3795</v>
      </c>
      <c r="B3939" s="6" t="str">
        <f>"宁波"</f>
        <v>宁波</v>
      </c>
      <c r="C3939" s="6" t="str">
        <f t="shared" si="184"/>
        <v>男</v>
      </c>
      <c r="D3939" s="6" t="str">
        <f>"202134040917"</f>
        <v>202134040917</v>
      </c>
      <c r="E3939" s="10" t="s">
        <v>27</v>
      </c>
      <c r="F3939" s="6" t="s">
        <v>23</v>
      </c>
      <c r="G3939" s="8">
        <v>65.2</v>
      </c>
      <c r="H3939" s="6"/>
    </row>
    <row r="3940" spans="1:8">
      <c r="A3940" s="5">
        <v>3802</v>
      </c>
      <c r="B3940" s="6" t="str">
        <f>"熊家辉"</f>
        <v>熊家辉</v>
      </c>
      <c r="C3940" s="6" t="str">
        <f t="shared" si="184"/>
        <v>男</v>
      </c>
      <c r="D3940" s="6" t="str">
        <f>"202134040918"</f>
        <v>202134040918</v>
      </c>
      <c r="E3940" s="10" t="s">
        <v>27</v>
      </c>
      <c r="F3940" s="6" t="s">
        <v>23</v>
      </c>
      <c r="G3940" s="8">
        <v>45.65</v>
      </c>
      <c r="H3940" s="6"/>
    </row>
    <row r="3941" spans="1:8">
      <c r="A3941" s="5">
        <v>3794</v>
      </c>
      <c r="B3941" s="6" t="str">
        <f>"钟伟"</f>
        <v>钟伟</v>
      </c>
      <c r="C3941" s="6" t="str">
        <f t="shared" si="184"/>
        <v>男</v>
      </c>
      <c r="D3941" s="6" t="str">
        <f>"202134040919"</f>
        <v>202134040919</v>
      </c>
      <c r="E3941" s="10" t="s">
        <v>27</v>
      </c>
      <c r="F3941" s="6" t="s">
        <v>23</v>
      </c>
      <c r="G3941" s="8">
        <v>54.35</v>
      </c>
      <c r="H3941" s="6"/>
    </row>
    <row r="3942" spans="1:8">
      <c r="A3942" s="5">
        <v>3801</v>
      </c>
      <c r="B3942" s="6" t="str">
        <f>"贺顺梽"</f>
        <v>贺顺梽</v>
      </c>
      <c r="C3942" s="6" t="str">
        <f t="shared" si="184"/>
        <v>男</v>
      </c>
      <c r="D3942" s="6" t="str">
        <f>"202134040920"</f>
        <v>202134040920</v>
      </c>
      <c r="E3942" s="10" t="s">
        <v>27</v>
      </c>
      <c r="F3942" s="6" t="s">
        <v>23</v>
      </c>
      <c r="G3942" s="8">
        <v>59.85</v>
      </c>
      <c r="H3942" s="6"/>
    </row>
    <row r="3943" spans="1:8">
      <c r="A3943" s="5">
        <v>3791</v>
      </c>
      <c r="B3943" s="6" t="str">
        <f>"杨秀莲"</f>
        <v>杨秀莲</v>
      </c>
      <c r="C3943" s="6" t="str">
        <f>"女"</f>
        <v>女</v>
      </c>
      <c r="D3943" s="6" t="str">
        <f>"202134040921"</f>
        <v>202134040921</v>
      </c>
      <c r="E3943" s="10" t="s">
        <v>27</v>
      </c>
      <c r="F3943" s="6" t="s">
        <v>23</v>
      </c>
      <c r="G3943" s="8">
        <v>65.45</v>
      </c>
      <c r="H3943" s="6"/>
    </row>
    <row r="3944" spans="1:8">
      <c r="A3944" s="5">
        <v>3789</v>
      </c>
      <c r="B3944" s="6" t="str">
        <f>"余加贝"</f>
        <v>余加贝</v>
      </c>
      <c r="C3944" s="6" t="str">
        <f>"男"</f>
        <v>男</v>
      </c>
      <c r="D3944" s="6" t="str">
        <f>"202134040922"</f>
        <v>202134040922</v>
      </c>
      <c r="E3944" s="10" t="s">
        <v>27</v>
      </c>
      <c r="F3944" s="6" t="s">
        <v>23</v>
      </c>
      <c r="G3944" s="8">
        <v>67.150000000000006</v>
      </c>
      <c r="H3944" s="6"/>
    </row>
    <row r="3945" spans="1:8">
      <c r="A3945" s="5">
        <v>3787</v>
      </c>
      <c r="B3945" s="6" t="str">
        <f>"寻国威"</f>
        <v>寻国威</v>
      </c>
      <c r="C3945" s="6" t="str">
        <f>"男"</f>
        <v>男</v>
      </c>
      <c r="D3945" s="6" t="str">
        <f>"202134040923"</f>
        <v>202134040923</v>
      </c>
      <c r="E3945" s="10" t="s">
        <v>27</v>
      </c>
      <c r="F3945" s="6" t="s">
        <v>23</v>
      </c>
      <c r="G3945" s="8">
        <v>58.9</v>
      </c>
      <c r="H3945" s="6"/>
    </row>
    <row r="3946" spans="1:8">
      <c r="A3946" s="5">
        <v>3799</v>
      </c>
      <c r="B3946" s="6" t="str">
        <f>"陈玉丽"</f>
        <v>陈玉丽</v>
      </c>
      <c r="C3946" s="6" t="str">
        <f>"女"</f>
        <v>女</v>
      </c>
      <c r="D3946" s="6" t="str">
        <f>"202134040924"</f>
        <v>202134040924</v>
      </c>
      <c r="E3946" s="10" t="s">
        <v>27</v>
      </c>
      <c r="F3946" s="6" t="s">
        <v>23</v>
      </c>
      <c r="G3946" s="8">
        <v>58.75</v>
      </c>
      <c r="H3946" s="6"/>
    </row>
    <row r="3947" spans="1:8">
      <c r="A3947" s="5">
        <v>3790</v>
      </c>
      <c r="B3947" s="6" t="str">
        <f>"李祁阳"</f>
        <v>李祁阳</v>
      </c>
      <c r="C3947" s="6" t="str">
        <f>"男"</f>
        <v>男</v>
      </c>
      <c r="D3947" s="6" t="str">
        <f>"202134040925"</f>
        <v>202134040925</v>
      </c>
      <c r="E3947" s="10" t="s">
        <v>27</v>
      </c>
      <c r="F3947" s="6" t="s">
        <v>23</v>
      </c>
      <c r="G3947" s="8">
        <v>0</v>
      </c>
      <c r="H3947" s="9">
        <v>1</v>
      </c>
    </row>
    <row r="3948" spans="1:8">
      <c r="A3948" s="5">
        <v>3803</v>
      </c>
      <c r="B3948" s="6" t="str">
        <f>"李璨"</f>
        <v>李璨</v>
      </c>
      <c r="C3948" s="6" t="str">
        <f>"女"</f>
        <v>女</v>
      </c>
      <c r="D3948" s="6" t="str">
        <f>"202134040926"</f>
        <v>202134040926</v>
      </c>
      <c r="E3948" s="10" t="s">
        <v>27</v>
      </c>
      <c r="F3948" s="6" t="s">
        <v>23</v>
      </c>
      <c r="G3948" s="8">
        <v>52.7</v>
      </c>
      <c r="H3948" s="6"/>
    </row>
    <row r="3949" spans="1:8">
      <c r="A3949" s="5">
        <v>3800</v>
      </c>
      <c r="B3949" s="6" t="str">
        <f>"苏艳霞"</f>
        <v>苏艳霞</v>
      </c>
      <c r="C3949" s="6" t="str">
        <f>"女"</f>
        <v>女</v>
      </c>
      <c r="D3949" s="6" t="str">
        <f>"202134040927"</f>
        <v>202134040927</v>
      </c>
      <c r="E3949" s="10" t="s">
        <v>27</v>
      </c>
      <c r="F3949" s="6" t="s">
        <v>23</v>
      </c>
      <c r="G3949" s="8">
        <v>50.3</v>
      </c>
      <c r="H3949" s="6"/>
    </row>
    <row r="3950" spans="1:8">
      <c r="A3950" s="5">
        <v>3793</v>
      </c>
      <c r="B3950" s="6" t="str">
        <f>"席四荣"</f>
        <v>席四荣</v>
      </c>
      <c r="C3950" s="6" t="str">
        <f>"女"</f>
        <v>女</v>
      </c>
      <c r="D3950" s="6" t="str">
        <f>"202134040928"</f>
        <v>202134040928</v>
      </c>
      <c r="E3950" s="10" t="s">
        <v>27</v>
      </c>
      <c r="F3950" s="6" t="s">
        <v>23</v>
      </c>
      <c r="G3950" s="8">
        <v>55.75</v>
      </c>
      <c r="H3950" s="6"/>
    </row>
    <row r="3951" spans="1:8">
      <c r="A3951" s="5">
        <v>3792</v>
      </c>
      <c r="B3951" s="6" t="str">
        <f>"吴彪"</f>
        <v>吴彪</v>
      </c>
      <c r="C3951" s="6" t="str">
        <f>"男"</f>
        <v>男</v>
      </c>
      <c r="D3951" s="6" t="str">
        <f>"202134040929"</f>
        <v>202134040929</v>
      </c>
      <c r="E3951" s="10" t="s">
        <v>27</v>
      </c>
      <c r="F3951" s="6" t="s">
        <v>23</v>
      </c>
      <c r="G3951" s="8">
        <v>66.349999999999994</v>
      </c>
      <c r="H3951" s="6"/>
    </row>
    <row r="3952" spans="1:8">
      <c r="A3952" s="5">
        <v>3798</v>
      </c>
      <c r="B3952" s="6" t="str">
        <f>"陈阳锋"</f>
        <v>陈阳锋</v>
      </c>
      <c r="C3952" s="6" t="str">
        <f>"男"</f>
        <v>男</v>
      </c>
      <c r="D3952" s="6" t="str">
        <f>"202134040930"</f>
        <v>202134040930</v>
      </c>
      <c r="E3952" s="10" t="s">
        <v>27</v>
      </c>
      <c r="F3952" s="6" t="s">
        <v>23</v>
      </c>
      <c r="G3952" s="8">
        <v>70.150000000000006</v>
      </c>
      <c r="H3952" s="6"/>
    </row>
    <row r="3953" spans="1:8">
      <c r="A3953" s="5">
        <v>3797</v>
      </c>
      <c r="B3953" s="6" t="str">
        <f>"邬辉"</f>
        <v>邬辉</v>
      </c>
      <c r="C3953" s="6" t="str">
        <f>"女"</f>
        <v>女</v>
      </c>
      <c r="D3953" s="6" t="str">
        <f>"202134041020"</f>
        <v>202134041020</v>
      </c>
      <c r="E3953" s="10" t="s">
        <v>27</v>
      </c>
      <c r="F3953" s="6" t="s">
        <v>23</v>
      </c>
      <c r="G3953" s="8">
        <v>64.25</v>
      </c>
      <c r="H3953" s="6"/>
    </row>
    <row r="3954" spans="1:8">
      <c r="A3954" s="5">
        <v>3796</v>
      </c>
      <c r="B3954" s="6" t="str">
        <f>"罗彬辉"</f>
        <v>罗彬辉</v>
      </c>
      <c r="C3954" s="6" t="str">
        <f t="shared" ref="C3954:C3961" si="185">"男"</f>
        <v>男</v>
      </c>
      <c r="D3954" s="6" t="str">
        <f>"202134041021"</f>
        <v>202134041021</v>
      </c>
      <c r="E3954" s="10" t="s">
        <v>27</v>
      </c>
      <c r="F3954" s="6" t="s">
        <v>23</v>
      </c>
      <c r="G3954" s="8">
        <v>56.75</v>
      </c>
      <c r="H3954" s="6"/>
    </row>
    <row r="3955" spans="1:8">
      <c r="A3955" s="5">
        <v>3786</v>
      </c>
      <c r="B3955" s="6" t="str">
        <f>"欧荣华"</f>
        <v>欧荣华</v>
      </c>
      <c r="C3955" s="6" t="str">
        <f t="shared" si="185"/>
        <v>男</v>
      </c>
      <c r="D3955" s="6" t="str">
        <f>"202134041022"</f>
        <v>202134041022</v>
      </c>
      <c r="E3955" s="10" t="s">
        <v>27</v>
      </c>
      <c r="F3955" s="6" t="s">
        <v>23</v>
      </c>
      <c r="G3955" s="8">
        <v>0</v>
      </c>
      <c r="H3955" s="9">
        <v>1</v>
      </c>
    </row>
    <row r="3956" spans="1:8">
      <c r="A3956" s="5">
        <v>3807</v>
      </c>
      <c r="B3956" s="6" t="str">
        <f>"曾举"</f>
        <v>曾举</v>
      </c>
      <c r="C3956" s="6" t="str">
        <f t="shared" si="185"/>
        <v>男</v>
      </c>
      <c r="D3956" s="6" t="str">
        <f>"202135041023"</f>
        <v>202135041023</v>
      </c>
      <c r="E3956" s="10" t="s">
        <v>27</v>
      </c>
      <c r="F3956" s="6" t="s">
        <v>24</v>
      </c>
      <c r="G3956" s="8">
        <v>36.6</v>
      </c>
      <c r="H3956" s="6"/>
    </row>
    <row r="3957" spans="1:8">
      <c r="A3957" s="5">
        <v>3806</v>
      </c>
      <c r="B3957" s="6" t="str">
        <f>"刘新建"</f>
        <v>刘新建</v>
      </c>
      <c r="C3957" s="6" t="str">
        <f t="shared" si="185"/>
        <v>男</v>
      </c>
      <c r="D3957" s="6" t="str">
        <f>"202135041024"</f>
        <v>202135041024</v>
      </c>
      <c r="E3957" s="10" t="s">
        <v>27</v>
      </c>
      <c r="F3957" s="6" t="s">
        <v>24</v>
      </c>
      <c r="G3957" s="8">
        <v>62.4</v>
      </c>
      <c r="H3957" s="6"/>
    </row>
    <row r="3958" spans="1:8">
      <c r="A3958" s="5">
        <v>3805</v>
      </c>
      <c r="B3958" s="6" t="str">
        <f>"蔡翔"</f>
        <v>蔡翔</v>
      </c>
      <c r="C3958" s="6" t="str">
        <f t="shared" si="185"/>
        <v>男</v>
      </c>
      <c r="D3958" s="6" t="str">
        <f>"202135041025"</f>
        <v>202135041025</v>
      </c>
      <c r="E3958" s="10" t="s">
        <v>27</v>
      </c>
      <c r="F3958" s="6" t="s">
        <v>24</v>
      </c>
      <c r="G3958" s="8">
        <v>57.5</v>
      </c>
      <c r="H3958" s="6"/>
    </row>
    <row r="3959" spans="1:8">
      <c r="A3959" s="5">
        <v>3809</v>
      </c>
      <c r="B3959" s="6" t="str">
        <f>"张玮文"</f>
        <v>张玮文</v>
      </c>
      <c r="C3959" s="6" t="str">
        <f t="shared" si="185"/>
        <v>男</v>
      </c>
      <c r="D3959" s="6" t="str">
        <f>"202135041026"</f>
        <v>202135041026</v>
      </c>
      <c r="E3959" s="10" t="s">
        <v>27</v>
      </c>
      <c r="F3959" s="6" t="s">
        <v>24</v>
      </c>
      <c r="G3959" s="8">
        <v>45.9</v>
      </c>
      <c r="H3959" s="6"/>
    </row>
    <row r="3960" spans="1:8">
      <c r="A3960" s="5">
        <v>3804</v>
      </c>
      <c r="B3960" s="6" t="str">
        <f>"刘文龙"</f>
        <v>刘文龙</v>
      </c>
      <c r="C3960" s="6" t="str">
        <f t="shared" si="185"/>
        <v>男</v>
      </c>
      <c r="D3960" s="6" t="str">
        <f>"202135041027"</f>
        <v>202135041027</v>
      </c>
      <c r="E3960" s="10" t="s">
        <v>27</v>
      </c>
      <c r="F3960" s="6" t="s">
        <v>24</v>
      </c>
      <c r="G3960" s="8">
        <v>47.45</v>
      </c>
      <c r="H3960" s="6"/>
    </row>
    <row r="3961" spans="1:8">
      <c r="A3961" s="5">
        <v>3808</v>
      </c>
      <c r="B3961" s="6" t="str">
        <f>"叶子奇"</f>
        <v>叶子奇</v>
      </c>
      <c r="C3961" s="6" t="str">
        <f t="shared" si="185"/>
        <v>男</v>
      </c>
      <c r="D3961" s="6" t="str">
        <f>"202135041028"</f>
        <v>202135041028</v>
      </c>
      <c r="E3961" s="10" t="s">
        <v>27</v>
      </c>
      <c r="F3961" s="6" t="s">
        <v>24</v>
      </c>
      <c r="G3961" s="8">
        <v>54.9</v>
      </c>
      <c r="H3961" s="6"/>
    </row>
    <row r="3962" spans="1:8">
      <c r="A3962" s="5">
        <v>3840</v>
      </c>
      <c r="B3962" s="6" t="str">
        <f>"周倩如"</f>
        <v>周倩如</v>
      </c>
      <c r="C3962" s="6" t="str">
        <f>"女"</f>
        <v>女</v>
      </c>
      <c r="D3962" s="6" t="str">
        <f>"202136041603"</f>
        <v>202136041603</v>
      </c>
      <c r="E3962" s="10" t="s">
        <v>27</v>
      </c>
      <c r="F3962" s="6" t="s">
        <v>25</v>
      </c>
      <c r="G3962" s="8">
        <v>69.25</v>
      </c>
      <c r="H3962" s="6"/>
    </row>
    <row r="3963" spans="1:8">
      <c r="A3963" s="5">
        <v>3841</v>
      </c>
      <c r="B3963" s="6" t="str">
        <f>"张能"</f>
        <v>张能</v>
      </c>
      <c r="C3963" s="6" t="str">
        <f>"女"</f>
        <v>女</v>
      </c>
      <c r="D3963" s="6" t="str">
        <f>"202136041604"</f>
        <v>202136041604</v>
      </c>
      <c r="E3963" s="10" t="s">
        <v>27</v>
      </c>
      <c r="F3963" s="6" t="s">
        <v>25</v>
      </c>
      <c r="G3963" s="8">
        <v>73.8</v>
      </c>
      <c r="H3963" s="6"/>
    </row>
    <row r="3964" spans="1:8">
      <c r="A3964" s="5">
        <v>3852</v>
      </c>
      <c r="B3964" s="6" t="str">
        <f>"李午"</f>
        <v>李午</v>
      </c>
      <c r="C3964" s="6" t="str">
        <f>"男"</f>
        <v>男</v>
      </c>
      <c r="D3964" s="6" t="str">
        <f>"202136041605"</f>
        <v>202136041605</v>
      </c>
      <c r="E3964" s="10" t="s">
        <v>27</v>
      </c>
      <c r="F3964" s="6" t="s">
        <v>25</v>
      </c>
      <c r="G3964" s="8">
        <v>49.15</v>
      </c>
      <c r="H3964" s="6"/>
    </row>
    <row r="3965" spans="1:8">
      <c r="A3965" s="5">
        <v>3822</v>
      </c>
      <c r="B3965" s="6" t="str">
        <f>"欧阳洁"</f>
        <v>欧阳洁</v>
      </c>
      <c r="C3965" s="6" t="str">
        <f t="shared" ref="C3965:C3975" si="186">"女"</f>
        <v>女</v>
      </c>
      <c r="D3965" s="6" t="str">
        <f>"202136041606"</f>
        <v>202136041606</v>
      </c>
      <c r="E3965" s="10" t="s">
        <v>27</v>
      </c>
      <c r="F3965" s="6" t="s">
        <v>25</v>
      </c>
      <c r="G3965" s="8">
        <v>39.75</v>
      </c>
      <c r="H3965" s="6"/>
    </row>
    <row r="3966" spans="1:8">
      <c r="A3966" s="5">
        <v>3812</v>
      </c>
      <c r="B3966" s="6" t="str">
        <f>"卢蒙"</f>
        <v>卢蒙</v>
      </c>
      <c r="C3966" s="6" t="str">
        <f t="shared" si="186"/>
        <v>女</v>
      </c>
      <c r="D3966" s="6" t="str">
        <f>"202136041607"</f>
        <v>202136041607</v>
      </c>
      <c r="E3966" s="10" t="s">
        <v>27</v>
      </c>
      <c r="F3966" s="6" t="s">
        <v>25</v>
      </c>
      <c r="G3966" s="8">
        <v>75.95</v>
      </c>
      <c r="H3966" s="6"/>
    </row>
    <row r="3967" spans="1:8">
      <c r="A3967" s="5">
        <v>3851</v>
      </c>
      <c r="B3967" s="6" t="str">
        <f>"黄诚"</f>
        <v>黄诚</v>
      </c>
      <c r="C3967" s="6" t="str">
        <f t="shared" si="186"/>
        <v>女</v>
      </c>
      <c r="D3967" s="6" t="str">
        <f>"202136041608"</f>
        <v>202136041608</v>
      </c>
      <c r="E3967" s="10" t="s">
        <v>27</v>
      </c>
      <c r="F3967" s="6" t="s">
        <v>25</v>
      </c>
      <c r="G3967" s="8">
        <v>65</v>
      </c>
      <c r="H3967" s="6"/>
    </row>
    <row r="3968" spans="1:8">
      <c r="A3968" s="5">
        <v>3857</v>
      </c>
      <c r="B3968" s="6" t="str">
        <f>"金瑞"</f>
        <v>金瑞</v>
      </c>
      <c r="C3968" s="6" t="str">
        <f t="shared" si="186"/>
        <v>女</v>
      </c>
      <c r="D3968" s="6" t="str">
        <f>"202136041609"</f>
        <v>202136041609</v>
      </c>
      <c r="E3968" s="10" t="s">
        <v>27</v>
      </c>
      <c r="F3968" s="6" t="s">
        <v>25</v>
      </c>
      <c r="G3968" s="8">
        <v>56.95</v>
      </c>
      <c r="H3968" s="6"/>
    </row>
    <row r="3969" spans="1:8">
      <c r="A3969" s="5">
        <v>3816</v>
      </c>
      <c r="B3969" s="6" t="str">
        <f>"卢旭岚"</f>
        <v>卢旭岚</v>
      </c>
      <c r="C3969" s="6" t="str">
        <f t="shared" si="186"/>
        <v>女</v>
      </c>
      <c r="D3969" s="6" t="str">
        <f>"202136041610"</f>
        <v>202136041610</v>
      </c>
      <c r="E3969" s="10" t="s">
        <v>27</v>
      </c>
      <c r="F3969" s="6" t="s">
        <v>25</v>
      </c>
      <c r="G3969" s="8">
        <v>69.900000000000006</v>
      </c>
      <c r="H3969" s="6"/>
    </row>
    <row r="3970" spans="1:8">
      <c r="A3970" s="5">
        <v>3849</v>
      </c>
      <c r="B3970" s="6" t="str">
        <f>"何珊"</f>
        <v>何珊</v>
      </c>
      <c r="C3970" s="6" t="str">
        <f t="shared" si="186"/>
        <v>女</v>
      </c>
      <c r="D3970" s="6" t="str">
        <f>"202136041611"</f>
        <v>202136041611</v>
      </c>
      <c r="E3970" s="10" t="s">
        <v>27</v>
      </c>
      <c r="F3970" s="6" t="s">
        <v>25</v>
      </c>
      <c r="G3970" s="8">
        <v>65.900000000000006</v>
      </c>
      <c r="H3970" s="6"/>
    </row>
    <row r="3971" spans="1:8">
      <c r="A3971" s="5">
        <v>3853</v>
      </c>
      <c r="B3971" s="6" t="str">
        <f>"汤玉霞"</f>
        <v>汤玉霞</v>
      </c>
      <c r="C3971" s="6" t="str">
        <f t="shared" si="186"/>
        <v>女</v>
      </c>
      <c r="D3971" s="6" t="str">
        <f>"202136041612"</f>
        <v>202136041612</v>
      </c>
      <c r="E3971" s="10" t="s">
        <v>27</v>
      </c>
      <c r="F3971" s="6" t="s">
        <v>25</v>
      </c>
      <c r="G3971" s="8">
        <v>65.349999999999994</v>
      </c>
      <c r="H3971" s="6"/>
    </row>
    <row r="3972" spans="1:8">
      <c r="A3972" s="5">
        <v>3831</v>
      </c>
      <c r="B3972" s="6" t="str">
        <f>"赵睿"</f>
        <v>赵睿</v>
      </c>
      <c r="C3972" s="6" t="str">
        <f t="shared" si="186"/>
        <v>女</v>
      </c>
      <c r="D3972" s="6" t="str">
        <f>"202136041613"</f>
        <v>202136041613</v>
      </c>
      <c r="E3972" s="10" t="s">
        <v>27</v>
      </c>
      <c r="F3972" s="6" t="s">
        <v>25</v>
      </c>
      <c r="G3972" s="8">
        <v>55.15</v>
      </c>
      <c r="H3972" s="6"/>
    </row>
    <row r="3973" spans="1:8">
      <c r="A3973" s="5">
        <v>3847</v>
      </c>
      <c r="B3973" s="6" t="str">
        <f>"邹婷婷"</f>
        <v>邹婷婷</v>
      </c>
      <c r="C3973" s="6" t="str">
        <f t="shared" si="186"/>
        <v>女</v>
      </c>
      <c r="D3973" s="6" t="str">
        <f>"202136041614"</f>
        <v>202136041614</v>
      </c>
      <c r="E3973" s="10" t="s">
        <v>27</v>
      </c>
      <c r="F3973" s="6" t="s">
        <v>25</v>
      </c>
      <c r="G3973" s="8">
        <v>70.849999999999994</v>
      </c>
      <c r="H3973" s="6"/>
    </row>
    <row r="3974" spans="1:8">
      <c r="A3974" s="5">
        <v>3821</v>
      </c>
      <c r="B3974" s="6" t="str">
        <f>"何林洪"</f>
        <v>何林洪</v>
      </c>
      <c r="C3974" s="6" t="str">
        <f t="shared" si="186"/>
        <v>女</v>
      </c>
      <c r="D3974" s="6" t="str">
        <f>"202136041615"</f>
        <v>202136041615</v>
      </c>
      <c r="E3974" s="10" t="s">
        <v>27</v>
      </c>
      <c r="F3974" s="6" t="s">
        <v>25</v>
      </c>
      <c r="G3974" s="8">
        <v>71.05</v>
      </c>
      <c r="H3974" s="6"/>
    </row>
    <row r="3975" spans="1:8">
      <c r="A3975" s="5">
        <v>3830</v>
      </c>
      <c r="B3975" s="6" t="str">
        <f>"杨雪梨"</f>
        <v>杨雪梨</v>
      </c>
      <c r="C3975" s="6" t="str">
        <f t="shared" si="186"/>
        <v>女</v>
      </c>
      <c r="D3975" s="6" t="str">
        <f>"202136041616"</f>
        <v>202136041616</v>
      </c>
      <c r="E3975" s="10" t="s">
        <v>27</v>
      </c>
      <c r="F3975" s="6" t="s">
        <v>25</v>
      </c>
      <c r="G3975" s="8">
        <v>47.75</v>
      </c>
      <c r="H3975" s="6"/>
    </row>
    <row r="3976" spans="1:8">
      <c r="A3976" s="5">
        <v>3826</v>
      </c>
      <c r="B3976" s="6" t="str">
        <f>"李哲"</f>
        <v>李哲</v>
      </c>
      <c r="C3976" s="6" t="str">
        <f>"男"</f>
        <v>男</v>
      </c>
      <c r="D3976" s="6" t="str">
        <f>"202136041617"</f>
        <v>202136041617</v>
      </c>
      <c r="E3976" s="10" t="s">
        <v>27</v>
      </c>
      <c r="F3976" s="6" t="s">
        <v>25</v>
      </c>
      <c r="G3976" s="8">
        <v>77.650000000000006</v>
      </c>
      <c r="H3976" s="6"/>
    </row>
    <row r="3977" spans="1:8">
      <c r="A3977" s="5">
        <v>3834</v>
      </c>
      <c r="B3977" s="6" t="str">
        <f>"陈依露"</f>
        <v>陈依露</v>
      </c>
      <c r="C3977" s="6" t="str">
        <f>"女"</f>
        <v>女</v>
      </c>
      <c r="D3977" s="6" t="str">
        <f>"202136041618"</f>
        <v>202136041618</v>
      </c>
      <c r="E3977" s="10" t="s">
        <v>27</v>
      </c>
      <c r="F3977" s="6" t="s">
        <v>25</v>
      </c>
      <c r="G3977" s="8">
        <v>0</v>
      </c>
      <c r="H3977" s="9">
        <v>1</v>
      </c>
    </row>
    <row r="3978" spans="1:8">
      <c r="A3978" s="5">
        <v>3819</v>
      </c>
      <c r="B3978" s="6" t="str">
        <f>"周孝球"</f>
        <v>周孝球</v>
      </c>
      <c r="C3978" s="6" t="str">
        <f>"男"</f>
        <v>男</v>
      </c>
      <c r="D3978" s="6" t="str">
        <f>"202136041619"</f>
        <v>202136041619</v>
      </c>
      <c r="E3978" s="10" t="s">
        <v>27</v>
      </c>
      <c r="F3978" s="6" t="s">
        <v>25</v>
      </c>
      <c r="G3978" s="8">
        <v>65.55</v>
      </c>
      <c r="H3978" s="6"/>
    </row>
    <row r="3979" spans="1:8">
      <c r="A3979" s="5">
        <v>3833</v>
      </c>
      <c r="B3979" s="6" t="str">
        <f>"邹慧"</f>
        <v>邹慧</v>
      </c>
      <c r="C3979" s="6" t="str">
        <f>"女"</f>
        <v>女</v>
      </c>
      <c r="D3979" s="6" t="str">
        <f>"202136041620"</f>
        <v>202136041620</v>
      </c>
      <c r="E3979" s="10" t="s">
        <v>27</v>
      </c>
      <c r="F3979" s="6" t="s">
        <v>25</v>
      </c>
      <c r="G3979" s="8">
        <v>59.5</v>
      </c>
      <c r="H3979" s="6"/>
    </row>
    <row r="3980" spans="1:8">
      <c r="A3980" s="5">
        <v>3839</v>
      </c>
      <c r="B3980" s="6" t="str">
        <f>"戴永斌"</f>
        <v>戴永斌</v>
      </c>
      <c r="C3980" s="6" t="str">
        <f>"男"</f>
        <v>男</v>
      </c>
      <c r="D3980" s="6" t="str">
        <f>"202136041621"</f>
        <v>202136041621</v>
      </c>
      <c r="E3980" s="10" t="s">
        <v>27</v>
      </c>
      <c r="F3980" s="6" t="s">
        <v>25</v>
      </c>
      <c r="G3980" s="8">
        <v>73.400000000000006</v>
      </c>
      <c r="H3980" s="6"/>
    </row>
    <row r="3981" spans="1:8">
      <c r="A3981" s="5">
        <v>3842</v>
      </c>
      <c r="B3981" s="6" t="str">
        <f>"熊冰花"</f>
        <v>熊冰花</v>
      </c>
      <c r="C3981" s="6" t="str">
        <f t="shared" ref="C3981:C3998" si="187">"女"</f>
        <v>女</v>
      </c>
      <c r="D3981" s="6" t="str">
        <f>"202136041622"</f>
        <v>202136041622</v>
      </c>
      <c r="E3981" s="10" t="s">
        <v>27</v>
      </c>
      <c r="F3981" s="6" t="s">
        <v>25</v>
      </c>
      <c r="G3981" s="8">
        <v>62.6</v>
      </c>
      <c r="H3981" s="6"/>
    </row>
    <row r="3982" spans="1:8">
      <c r="A3982" s="5">
        <v>3854</v>
      </c>
      <c r="B3982" s="6" t="str">
        <f>"罗虹"</f>
        <v>罗虹</v>
      </c>
      <c r="C3982" s="6" t="str">
        <f t="shared" si="187"/>
        <v>女</v>
      </c>
      <c r="D3982" s="6" t="str">
        <f>"202136041623"</f>
        <v>202136041623</v>
      </c>
      <c r="E3982" s="10" t="s">
        <v>27</v>
      </c>
      <c r="F3982" s="6" t="s">
        <v>25</v>
      </c>
      <c r="G3982" s="8">
        <v>80.3</v>
      </c>
      <c r="H3982" s="6"/>
    </row>
    <row r="3983" spans="1:8">
      <c r="A3983" s="5">
        <v>3838</v>
      </c>
      <c r="B3983" s="6" t="str">
        <f>"刘芷嫣"</f>
        <v>刘芷嫣</v>
      </c>
      <c r="C3983" s="6" t="str">
        <f t="shared" si="187"/>
        <v>女</v>
      </c>
      <c r="D3983" s="6" t="str">
        <f>"202136041624"</f>
        <v>202136041624</v>
      </c>
      <c r="E3983" s="10" t="s">
        <v>27</v>
      </c>
      <c r="F3983" s="6" t="s">
        <v>25</v>
      </c>
      <c r="G3983" s="8">
        <v>66.45</v>
      </c>
      <c r="H3983" s="6"/>
    </row>
    <row r="3984" spans="1:8">
      <c r="A3984" s="5">
        <v>3823</v>
      </c>
      <c r="B3984" s="6" t="str">
        <f>"谭娅菊"</f>
        <v>谭娅菊</v>
      </c>
      <c r="C3984" s="6" t="str">
        <f t="shared" si="187"/>
        <v>女</v>
      </c>
      <c r="D3984" s="6" t="str">
        <f>"202136041625"</f>
        <v>202136041625</v>
      </c>
      <c r="E3984" s="10" t="s">
        <v>27</v>
      </c>
      <c r="F3984" s="6" t="s">
        <v>25</v>
      </c>
      <c r="G3984" s="8">
        <v>43.95</v>
      </c>
      <c r="H3984" s="6"/>
    </row>
    <row r="3985" spans="1:8">
      <c r="A3985" s="5">
        <v>3817</v>
      </c>
      <c r="B3985" s="6" t="str">
        <f>"黄程"</f>
        <v>黄程</v>
      </c>
      <c r="C3985" s="6" t="str">
        <f t="shared" si="187"/>
        <v>女</v>
      </c>
      <c r="D3985" s="6" t="str">
        <f>"202136041626"</f>
        <v>202136041626</v>
      </c>
      <c r="E3985" s="10" t="s">
        <v>27</v>
      </c>
      <c r="F3985" s="6" t="s">
        <v>25</v>
      </c>
      <c r="G3985" s="8">
        <v>61.85</v>
      </c>
      <c r="H3985" s="6"/>
    </row>
    <row r="3986" spans="1:8">
      <c r="A3986" s="5">
        <v>3832</v>
      </c>
      <c r="B3986" s="6" t="str">
        <f>"隆玉君"</f>
        <v>隆玉君</v>
      </c>
      <c r="C3986" s="6" t="str">
        <f t="shared" si="187"/>
        <v>女</v>
      </c>
      <c r="D3986" s="6" t="str">
        <f>"202136041627"</f>
        <v>202136041627</v>
      </c>
      <c r="E3986" s="10" t="s">
        <v>27</v>
      </c>
      <c r="F3986" s="6" t="s">
        <v>25</v>
      </c>
      <c r="G3986" s="8">
        <v>76.55</v>
      </c>
      <c r="H3986" s="6"/>
    </row>
    <row r="3987" spans="1:8">
      <c r="A3987" s="5">
        <v>3829</v>
      </c>
      <c r="B3987" s="6" t="str">
        <f>"周琼"</f>
        <v>周琼</v>
      </c>
      <c r="C3987" s="6" t="str">
        <f t="shared" si="187"/>
        <v>女</v>
      </c>
      <c r="D3987" s="6" t="str">
        <f>"202136041628"</f>
        <v>202136041628</v>
      </c>
      <c r="E3987" s="10" t="s">
        <v>27</v>
      </c>
      <c r="F3987" s="6" t="s">
        <v>25</v>
      </c>
      <c r="G3987" s="8">
        <v>72.349999999999994</v>
      </c>
      <c r="H3987" s="6"/>
    </row>
    <row r="3988" spans="1:8">
      <c r="A3988" s="5">
        <v>3836</v>
      </c>
      <c r="B3988" s="6" t="str">
        <f>"周彩叶"</f>
        <v>周彩叶</v>
      </c>
      <c r="C3988" s="6" t="str">
        <f t="shared" si="187"/>
        <v>女</v>
      </c>
      <c r="D3988" s="6" t="str">
        <f>"202136041629"</f>
        <v>202136041629</v>
      </c>
      <c r="E3988" s="10" t="s">
        <v>27</v>
      </c>
      <c r="F3988" s="6" t="s">
        <v>25</v>
      </c>
      <c r="G3988" s="8">
        <v>40.75</v>
      </c>
      <c r="H3988" s="6"/>
    </row>
    <row r="3989" spans="1:8">
      <c r="A3989" s="5">
        <v>3810</v>
      </c>
      <c r="B3989" s="6" t="str">
        <f>"张乐"</f>
        <v>张乐</v>
      </c>
      <c r="C3989" s="6" t="str">
        <f t="shared" si="187"/>
        <v>女</v>
      </c>
      <c r="D3989" s="6" t="str">
        <f>"202136041630"</f>
        <v>202136041630</v>
      </c>
      <c r="E3989" s="10" t="s">
        <v>27</v>
      </c>
      <c r="F3989" s="6" t="s">
        <v>25</v>
      </c>
      <c r="G3989" s="8">
        <v>60</v>
      </c>
      <c r="H3989" s="6"/>
    </row>
    <row r="3990" spans="1:8">
      <c r="A3990" s="5">
        <v>3848</v>
      </c>
      <c r="B3990" s="6" t="str">
        <f>"唐慧敏"</f>
        <v>唐慧敏</v>
      </c>
      <c r="C3990" s="6" t="str">
        <f t="shared" si="187"/>
        <v>女</v>
      </c>
      <c r="D3990" s="6" t="str">
        <f>"202136041701"</f>
        <v>202136041701</v>
      </c>
      <c r="E3990" s="10" t="s">
        <v>27</v>
      </c>
      <c r="F3990" s="6" t="s">
        <v>25</v>
      </c>
      <c r="G3990" s="8">
        <v>77.45</v>
      </c>
      <c r="H3990" s="6"/>
    </row>
    <row r="3991" spans="1:8">
      <c r="A3991" s="5">
        <v>3811</v>
      </c>
      <c r="B3991" s="6" t="str">
        <f>"刘婷"</f>
        <v>刘婷</v>
      </c>
      <c r="C3991" s="6" t="str">
        <f t="shared" si="187"/>
        <v>女</v>
      </c>
      <c r="D3991" s="6" t="str">
        <f>"202136041702"</f>
        <v>202136041702</v>
      </c>
      <c r="E3991" s="10" t="s">
        <v>27</v>
      </c>
      <c r="F3991" s="6" t="s">
        <v>25</v>
      </c>
      <c r="G3991" s="8">
        <v>47.1</v>
      </c>
      <c r="H3991" s="6"/>
    </row>
    <row r="3992" spans="1:8">
      <c r="A3992" s="5">
        <v>3828</v>
      </c>
      <c r="B3992" s="6" t="str">
        <f>"李玉萍"</f>
        <v>李玉萍</v>
      </c>
      <c r="C3992" s="6" t="str">
        <f t="shared" si="187"/>
        <v>女</v>
      </c>
      <c r="D3992" s="6" t="str">
        <f>"202136041703"</f>
        <v>202136041703</v>
      </c>
      <c r="E3992" s="10" t="s">
        <v>27</v>
      </c>
      <c r="F3992" s="6" t="s">
        <v>25</v>
      </c>
      <c r="G3992" s="8">
        <v>70.900000000000006</v>
      </c>
      <c r="H3992" s="6"/>
    </row>
    <row r="3993" spans="1:8">
      <c r="A3993" s="5">
        <v>3814</v>
      </c>
      <c r="B3993" s="6" t="str">
        <f>"杨诗情"</f>
        <v>杨诗情</v>
      </c>
      <c r="C3993" s="6" t="str">
        <f t="shared" si="187"/>
        <v>女</v>
      </c>
      <c r="D3993" s="6" t="str">
        <f>"202136041704"</f>
        <v>202136041704</v>
      </c>
      <c r="E3993" s="10" t="s">
        <v>27</v>
      </c>
      <c r="F3993" s="6" t="s">
        <v>25</v>
      </c>
      <c r="G3993" s="8">
        <v>43.35</v>
      </c>
      <c r="H3993" s="6"/>
    </row>
    <row r="3994" spans="1:8">
      <c r="A3994" s="5">
        <v>3844</v>
      </c>
      <c r="B3994" s="6" t="str">
        <f>"袁邵美"</f>
        <v>袁邵美</v>
      </c>
      <c r="C3994" s="6" t="str">
        <f t="shared" si="187"/>
        <v>女</v>
      </c>
      <c r="D3994" s="6" t="str">
        <f>"202136041705"</f>
        <v>202136041705</v>
      </c>
      <c r="E3994" s="10" t="s">
        <v>27</v>
      </c>
      <c r="F3994" s="6" t="s">
        <v>25</v>
      </c>
      <c r="G3994" s="8">
        <v>71.05</v>
      </c>
      <c r="H3994" s="6"/>
    </row>
    <row r="3995" spans="1:8">
      <c r="A3995" s="5">
        <v>3858</v>
      </c>
      <c r="B3995" s="6" t="str">
        <f>"莫凌梅"</f>
        <v>莫凌梅</v>
      </c>
      <c r="C3995" s="6" t="str">
        <f t="shared" si="187"/>
        <v>女</v>
      </c>
      <c r="D3995" s="6" t="str">
        <f>"202136041706"</f>
        <v>202136041706</v>
      </c>
      <c r="E3995" s="10" t="s">
        <v>27</v>
      </c>
      <c r="F3995" s="6" t="s">
        <v>25</v>
      </c>
      <c r="G3995" s="8">
        <v>70.05</v>
      </c>
      <c r="H3995" s="6"/>
    </row>
    <row r="3996" spans="1:8">
      <c r="A3996" s="5">
        <v>3813</v>
      </c>
      <c r="B3996" s="6" t="str">
        <f>"谢美娟"</f>
        <v>谢美娟</v>
      </c>
      <c r="C3996" s="6" t="str">
        <f t="shared" si="187"/>
        <v>女</v>
      </c>
      <c r="D3996" s="6" t="str">
        <f>"202136041707"</f>
        <v>202136041707</v>
      </c>
      <c r="E3996" s="10" t="s">
        <v>27</v>
      </c>
      <c r="F3996" s="6" t="s">
        <v>25</v>
      </c>
      <c r="G3996" s="8">
        <v>73.150000000000006</v>
      </c>
      <c r="H3996" s="6"/>
    </row>
    <row r="3997" spans="1:8">
      <c r="A3997" s="5">
        <v>3837</v>
      </c>
      <c r="B3997" s="6" t="str">
        <f>"米雪"</f>
        <v>米雪</v>
      </c>
      <c r="C3997" s="6" t="str">
        <f t="shared" si="187"/>
        <v>女</v>
      </c>
      <c r="D3997" s="6" t="str">
        <f>"202136041708"</f>
        <v>202136041708</v>
      </c>
      <c r="E3997" s="10" t="s">
        <v>27</v>
      </c>
      <c r="F3997" s="6" t="s">
        <v>25</v>
      </c>
      <c r="G3997" s="8">
        <v>38.200000000000003</v>
      </c>
      <c r="H3997" s="6"/>
    </row>
    <row r="3998" spans="1:8">
      <c r="A3998" s="5">
        <v>3825</v>
      </c>
      <c r="B3998" s="6" t="str">
        <f>"唐婷"</f>
        <v>唐婷</v>
      </c>
      <c r="C3998" s="6" t="str">
        <f t="shared" si="187"/>
        <v>女</v>
      </c>
      <c r="D3998" s="6" t="str">
        <f>"202136041709"</f>
        <v>202136041709</v>
      </c>
      <c r="E3998" s="10" t="s">
        <v>27</v>
      </c>
      <c r="F3998" s="6" t="s">
        <v>25</v>
      </c>
      <c r="G3998" s="8">
        <v>73.05</v>
      </c>
      <c r="H3998" s="6"/>
    </row>
    <row r="3999" spans="1:8">
      <c r="A3999" s="5">
        <v>3827</v>
      </c>
      <c r="B3999" s="6" t="str">
        <f>"吕庆宝"</f>
        <v>吕庆宝</v>
      </c>
      <c r="C3999" s="6" t="str">
        <f>"男"</f>
        <v>男</v>
      </c>
      <c r="D3999" s="6" t="str">
        <f>"202136041710"</f>
        <v>202136041710</v>
      </c>
      <c r="E3999" s="10" t="s">
        <v>27</v>
      </c>
      <c r="F3999" s="6" t="s">
        <v>25</v>
      </c>
      <c r="G3999" s="8">
        <v>76.650000000000006</v>
      </c>
      <c r="H3999" s="6"/>
    </row>
    <row r="4000" spans="1:8">
      <c r="A4000" s="5">
        <v>3856</v>
      </c>
      <c r="B4000" s="6" t="str">
        <f>"李霞"</f>
        <v>李霞</v>
      </c>
      <c r="C4000" s="6" t="str">
        <f>"女"</f>
        <v>女</v>
      </c>
      <c r="D4000" s="6" t="str">
        <f>"202136041711"</f>
        <v>202136041711</v>
      </c>
      <c r="E4000" s="10" t="s">
        <v>27</v>
      </c>
      <c r="F4000" s="6" t="s">
        <v>25</v>
      </c>
      <c r="G4000" s="8">
        <v>79.3</v>
      </c>
      <c r="H4000" s="6"/>
    </row>
    <row r="4001" spans="1:8">
      <c r="A4001" s="5">
        <v>3855</v>
      </c>
      <c r="B4001" s="6" t="str">
        <f>"王一丹"</f>
        <v>王一丹</v>
      </c>
      <c r="C4001" s="6" t="str">
        <f>"女"</f>
        <v>女</v>
      </c>
      <c r="D4001" s="6" t="str">
        <f>"202136041712"</f>
        <v>202136041712</v>
      </c>
      <c r="E4001" s="10" t="s">
        <v>27</v>
      </c>
      <c r="F4001" s="6" t="s">
        <v>25</v>
      </c>
      <c r="G4001" s="8">
        <v>74.650000000000006</v>
      </c>
      <c r="H4001" s="6"/>
    </row>
    <row r="4002" spans="1:8">
      <c r="A4002" s="5">
        <v>3818</v>
      </c>
      <c r="B4002" s="6" t="str">
        <f>"舒琴"</f>
        <v>舒琴</v>
      </c>
      <c r="C4002" s="6" t="str">
        <f>"女"</f>
        <v>女</v>
      </c>
      <c r="D4002" s="6" t="str">
        <f>"202136041713"</f>
        <v>202136041713</v>
      </c>
      <c r="E4002" s="10" t="s">
        <v>27</v>
      </c>
      <c r="F4002" s="6" t="s">
        <v>25</v>
      </c>
      <c r="G4002" s="8">
        <v>77.95</v>
      </c>
      <c r="H4002" s="6"/>
    </row>
    <row r="4003" spans="1:8">
      <c r="A4003" s="5">
        <v>3859</v>
      </c>
      <c r="B4003" s="6" t="str">
        <f>"胡文茜"</f>
        <v>胡文茜</v>
      </c>
      <c r="C4003" s="6" t="str">
        <f>"女"</f>
        <v>女</v>
      </c>
      <c r="D4003" s="6" t="str">
        <f>"202136041714"</f>
        <v>202136041714</v>
      </c>
      <c r="E4003" s="10" t="s">
        <v>27</v>
      </c>
      <c r="F4003" s="6" t="s">
        <v>25</v>
      </c>
      <c r="G4003" s="8">
        <v>75.650000000000006</v>
      </c>
      <c r="H4003" s="6"/>
    </row>
    <row r="4004" spans="1:8">
      <c r="A4004" s="5">
        <v>3846</v>
      </c>
      <c r="B4004" s="6" t="str">
        <f>"周晶鑫"</f>
        <v>周晶鑫</v>
      </c>
      <c r="C4004" s="6" t="str">
        <f>"男"</f>
        <v>男</v>
      </c>
      <c r="D4004" s="6" t="str">
        <f>"202136041715"</f>
        <v>202136041715</v>
      </c>
      <c r="E4004" s="10" t="s">
        <v>27</v>
      </c>
      <c r="F4004" s="6" t="s">
        <v>25</v>
      </c>
      <c r="G4004" s="8">
        <v>0</v>
      </c>
      <c r="H4004" s="9">
        <v>1</v>
      </c>
    </row>
    <row r="4005" spans="1:8">
      <c r="A4005" s="5">
        <v>3824</v>
      </c>
      <c r="B4005" s="6" t="str">
        <f>"孙臻"</f>
        <v>孙臻</v>
      </c>
      <c r="C4005" s="6" t="str">
        <f>"男"</f>
        <v>男</v>
      </c>
      <c r="D4005" s="6" t="str">
        <f>"202136041716"</f>
        <v>202136041716</v>
      </c>
      <c r="E4005" s="10" t="s">
        <v>27</v>
      </c>
      <c r="F4005" s="6" t="s">
        <v>25</v>
      </c>
      <c r="G4005" s="8">
        <v>62.95</v>
      </c>
      <c r="H4005" s="6"/>
    </row>
    <row r="4006" spans="1:8">
      <c r="A4006" s="5">
        <v>3820</v>
      </c>
      <c r="B4006" s="6" t="str">
        <f>"戴菁鹭"</f>
        <v>戴菁鹭</v>
      </c>
      <c r="C4006" s="6" t="str">
        <f>"女"</f>
        <v>女</v>
      </c>
      <c r="D4006" s="6" t="str">
        <f>"202136041717"</f>
        <v>202136041717</v>
      </c>
      <c r="E4006" s="10" t="s">
        <v>27</v>
      </c>
      <c r="F4006" s="6" t="s">
        <v>25</v>
      </c>
      <c r="G4006" s="8">
        <v>79.099999999999994</v>
      </c>
      <c r="H4006" s="6"/>
    </row>
    <row r="4007" spans="1:8">
      <c r="A4007" s="5">
        <v>3835</v>
      </c>
      <c r="B4007" s="6" t="str">
        <f>"钟美霞"</f>
        <v>钟美霞</v>
      </c>
      <c r="C4007" s="6" t="str">
        <f>"女"</f>
        <v>女</v>
      </c>
      <c r="D4007" s="6" t="str">
        <f>"202136041718"</f>
        <v>202136041718</v>
      </c>
      <c r="E4007" s="10" t="s">
        <v>27</v>
      </c>
      <c r="F4007" s="6" t="s">
        <v>25</v>
      </c>
      <c r="G4007" s="8">
        <v>73.2</v>
      </c>
      <c r="H4007" s="6"/>
    </row>
    <row r="4008" spans="1:8">
      <c r="A4008" s="5">
        <v>3843</v>
      </c>
      <c r="B4008" s="6" t="str">
        <f>"陈晶"</f>
        <v>陈晶</v>
      </c>
      <c r="C4008" s="6" t="str">
        <f>"女"</f>
        <v>女</v>
      </c>
      <c r="D4008" s="6" t="str">
        <f>"202136041719"</f>
        <v>202136041719</v>
      </c>
      <c r="E4008" s="10" t="s">
        <v>27</v>
      </c>
      <c r="F4008" s="6" t="s">
        <v>25</v>
      </c>
      <c r="G4008" s="8">
        <v>63.3</v>
      </c>
      <c r="H4008" s="6"/>
    </row>
    <row r="4009" spans="1:8">
      <c r="A4009" s="5">
        <v>3850</v>
      </c>
      <c r="B4009" s="6" t="str">
        <f>"郑潇姝"</f>
        <v>郑潇姝</v>
      </c>
      <c r="C4009" s="6" t="str">
        <f>"女"</f>
        <v>女</v>
      </c>
      <c r="D4009" s="6" t="str">
        <f>"202136041720"</f>
        <v>202136041720</v>
      </c>
      <c r="E4009" s="10" t="s">
        <v>27</v>
      </c>
      <c r="F4009" s="6" t="s">
        <v>25</v>
      </c>
      <c r="G4009" s="8">
        <v>80.5</v>
      </c>
      <c r="H4009" s="6"/>
    </row>
    <row r="4010" spans="1:8">
      <c r="A4010" s="5">
        <v>3845</v>
      </c>
      <c r="B4010" s="6" t="str">
        <f>"吴忍剑"</f>
        <v>吴忍剑</v>
      </c>
      <c r="C4010" s="6" t="str">
        <f>"男"</f>
        <v>男</v>
      </c>
      <c r="D4010" s="6" t="str">
        <f>"202136041721"</f>
        <v>202136041721</v>
      </c>
      <c r="E4010" s="10" t="s">
        <v>27</v>
      </c>
      <c r="F4010" s="6" t="s">
        <v>25</v>
      </c>
      <c r="G4010" s="8">
        <v>76.8</v>
      </c>
      <c r="H4010" s="6"/>
    </row>
    <row r="4011" spans="1:8">
      <c r="A4011" s="5">
        <v>3815</v>
      </c>
      <c r="B4011" s="6" t="str">
        <f>"谢露"</f>
        <v>谢露</v>
      </c>
      <c r="C4011" s="6" t="str">
        <f>"女"</f>
        <v>女</v>
      </c>
      <c r="D4011" s="6" t="str">
        <f>"202136041722"</f>
        <v>202136041722</v>
      </c>
      <c r="E4011" s="10" t="s">
        <v>27</v>
      </c>
      <c r="F4011" s="6" t="s">
        <v>25</v>
      </c>
      <c r="G4011" s="8">
        <v>62.6</v>
      </c>
      <c r="H4011" s="6"/>
    </row>
    <row r="4012" spans="1:8">
      <c r="A4012" s="5">
        <v>3863</v>
      </c>
      <c r="B4012" s="6" t="str">
        <f>"李寒静"</f>
        <v>李寒静</v>
      </c>
      <c r="C4012" s="6" t="str">
        <f>"女"</f>
        <v>女</v>
      </c>
      <c r="D4012" s="6" t="str">
        <f>"202137041723"</f>
        <v>202137041723</v>
      </c>
      <c r="E4012" s="10" t="s">
        <v>27</v>
      </c>
      <c r="F4012" s="6" t="s">
        <v>26</v>
      </c>
      <c r="G4012" s="8">
        <v>66.25</v>
      </c>
      <c r="H4012" s="6"/>
    </row>
    <row r="4013" spans="1:8">
      <c r="A4013" s="5">
        <v>3860</v>
      </c>
      <c r="B4013" s="6" t="str">
        <f>"张意"</f>
        <v>张意</v>
      </c>
      <c r="C4013" s="6" t="str">
        <f>"男"</f>
        <v>男</v>
      </c>
      <c r="D4013" s="6" t="str">
        <f>"202137041724"</f>
        <v>202137041724</v>
      </c>
      <c r="E4013" s="10" t="s">
        <v>27</v>
      </c>
      <c r="F4013" s="6" t="s">
        <v>26</v>
      </c>
      <c r="G4013" s="8">
        <v>69.7</v>
      </c>
      <c r="H4013" s="6"/>
    </row>
    <row r="4014" spans="1:8">
      <c r="A4014" s="5">
        <v>3873</v>
      </c>
      <c r="B4014" s="6" t="str">
        <f>"胡敏"</f>
        <v>胡敏</v>
      </c>
      <c r="C4014" s="6" t="str">
        <f t="shared" ref="C4014:C4038" si="188">"女"</f>
        <v>女</v>
      </c>
      <c r="D4014" s="6" t="str">
        <f>"202137041725"</f>
        <v>202137041725</v>
      </c>
      <c r="E4014" s="10" t="s">
        <v>27</v>
      </c>
      <c r="F4014" s="6" t="s">
        <v>26</v>
      </c>
      <c r="G4014" s="8">
        <v>78.900000000000006</v>
      </c>
      <c r="H4014" s="6"/>
    </row>
    <row r="4015" spans="1:8">
      <c r="A4015" s="5">
        <v>3866</v>
      </c>
      <c r="B4015" s="6" t="str">
        <f>"杨颖慧"</f>
        <v>杨颖慧</v>
      </c>
      <c r="C4015" s="6" t="str">
        <f t="shared" si="188"/>
        <v>女</v>
      </c>
      <c r="D4015" s="6" t="str">
        <f>"202137041726"</f>
        <v>202137041726</v>
      </c>
      <c r="E4015" s="10" t="s">
        <v>27</v>
      </c>
      <c r="F4015" s="6" t="s">
        <v>26</v>
      </c>
      <c r="G4015" s="8">
        <v>64.05</v>
      </c>
      <c r="H4015" s="6"/>
    </row>
    <row r="4016" spans="1:8">
      <c r="A4016" s="5">
        <v>3874</v>
      </c>
      <c r="B4016" s="6" t="str">
        <f>"马敏丽"</f>
        <v>马敏丽</v>
      </c>
      <c r="C4016" s="6" t="str">
        <f t="shared" si="188"/>
        <v>女</v>
      </c>
      <c r="D4016" s="6" t="str">
        <f>"202137041727"</f>
        <v>202137041727</v>
      </c>
      <c r="E4016" s="10" t="s">
        <v>27</v>
      </c>
      <c r="F4016" s="6" t="s">
        <v>26</v>
      </c>
      <c r="G4016" s="8">
        <v>50.75</v>
      </c>
      <c r="H4016" s="6"/>
    </row>
    <row r="4017" spans="1:8">
      <c r="A4017" s="5">
        <v>3870</v>
      </c>
      <c r="B4017" s="6" t="str">
        <f>"刘厚池"</f>
        <v>刘厚池</v>
      </c>
      <c r="C4017" s="6" t="str">
        <f t="shared" si="188"/>
        <v>女</v>
      </c>
      <c r="D4017" s="6" t="str">
        <f>"202137041728"</f>
        <v>202137041728</v>
      </c>
      <c r="E4017" s="10" t="s">
        <v>27</v>
      </c>
      <c r="F4017" s="6" t="s">
        <v>26</v>
      </c>
      <c r="G4017" s="8">
        <v>73.849999999999994</v>
      </c>
      <c r="H4017" s="6"/>
    </row>
    <row r="4018" spans="1:8">
      <c r="A4018" s="5">
        <v>3871</v>
      </c>
      <c r="B4018" s="6" t="str">
        <f>"胡龄晔"</f>
        <v>胡龄晔</v>
      </c>
      <c r="C4018" s="6" t="str">
        <f t="shared" si="188"/>
        <v>女</v>
      </c>
      <c r="D4018" s="6" t="str">
        <f>"202137041729"</f>
        <v>202137041729</v>
      </c>
      <c r="E4018" s="10" t="s">
        <v>27</v>
      </c>
      <c r="F4018" s="6" t="s">
        <v>26</v>
      </c>
      <c r="G4018" s="8">
        <v>64.45</v>
      </c>
      <c r="H4018" s="6"/>
    </row>
    <row r="4019" spans="1:8">
      <c r="A4019" s="5">
        <v>3864</v>
      </c>
      <c r="B4019" s="6" t="str">
        <f>"何艳晴"</f>
        <v>何艳晴</v>
      </c>
      <c r="C4019" s="6" t="str">
        <f t="shared" si="188"/>
        <v>女</v>
      </c>
      <c r="D4019" s="6" t="str">
        <f>"202137041730"</f>
        <v>202137041730</v>
      </c>
      <c r="E4019" s="10" t="s">
        <v>27</v>
      </c>
      <c r="F4019" s="6" t="s">
        <v>26</v>
      </c>
      <c r="G4019" s="8">
        <v>47.5</v>
      </c>
      <c r="H4019" s="6"/>
    </row>
    <row r="4020" spans="1:8">
      <c r="A4020" s="5">
        <v>3878</v>
      </c>
      <c r="B4020" s="6" t="str">
        <f>"李倩隐"</f>
        <v>李倩隐</v>
      </c>
      <c r="C4020" s="6" t="str">
        <f t="shared" si="188"/>
        <v>女</v>
      </c>
      <c r="D4020" s="6" t="str">
        <f>"202137041801"</f>
        <v>202137041801</v>
      </c>
      <c r="E4020" s="10" t="s">
        <v>27</v>
      </c>
      <c r="F4020" s="6" t="s">
        <v>26</v>
      </c>
      <c r="G4020" s="8">
        <v>78.45</v>
      </c>
      <c r="H4020" s="6"/>
    </row>
    <row r="4021" spans="1:8">
      <c r="A4021" s="5">
        <v>3867</v>
      </c>
      <c r="B4021" s="6" t="str">
        <f>"姚邵宁"</f>
        <v>姚邵宁</v>
      </c>
      <c r="C4021" s="6" t="str">
        <f t="shared" si="188"/>
        <v>女</v>
      </c>
      <c r="D4021" s="6" t="str">
        <f>"202137041802"</f>
        <v>202137041802</v>
      </c>
      <c r="E4021" s="10" t="s">
        <v>27</v>
      </c>
      <c r="F4021" s="6" t="s">
        <v>26</v>
      </c>
      <c r="G4021" s="8">
        <v>46.4</v>
      </c>
      <c r="H4021" s="6"/>
    </row>
    <row r="4022" spans="1:8">
      <c r="A4022" s="5">
        <v>3868</v>
      </c>
      <c r="B4022" s="6" t="str">
        <f>"罗橙"</f>
        <v>罗橙</v>
      </c>
      <c r="C4022" s="6" t="str">
        <f t="shared" si="188"/>
        <v>女</v>
      </c>
      <c r="D4022" s="6" t="str">
        <f>"202137041803"</f>
        <v>202137041803</v>
      </c>
      <c r="E4022" s="10" t="s">
        <v>27</v>
      </c>
      <c r="F4022" s="6" t="s">
        <v>26</v>
      </c>
      <c r="G4022" s="8">
        <v>66.5</v>
      </c>
      <c r="H4022" s="6"/>
    </row>
    <row r="4023" spans="1:8">
      <c r="A4023" s="5">
        <v>3861</v>
      </c>
      <c r="B4023" s="6" t="str">
        <f>"王九"</f>
        <v>王九</v>
      </c>
      <c r="C4023" s="6" t="str">
        <f t="shared" si="188"/>
        <v>女</v>
      </c>
      <c r="D4023" s="6" t="str">
        <f>"202137041804"</f>
        <v>202137041804</v>
      </c>
      <c r="E4023" s="10" t="s">
        <v>27</v>
      </c>
      <c r="F4023" s="6" t="s">
        <v>26</v>
      </c>
      <c r="G4023" s="8">
        <v>64.45</v>
      </c>
      <c r="H4023" s="6"/>
    </row>
    <row r="4024" spans="1:8">
      <c r="A4024" s="5">
        <v>3862</v>
      </c>
      <c r="B4024" s="6" t="str">
        <f>"肖佳丽"</f>
        <v>肖佳丽</v>
      </c>
      <c r="C4024" s="6" t="str">
        <f t="shared" si="188"/>
        <v>女</v>
      </c>
      <c r="D4024" s="6" t="str">
        <f>"202137041805"</f>
        <v>202137041805</v>
      </c>
      <c r="E4024" s="10" t="s">
        <v>27</v>
      </c>
      <c r="F4024" s="6" t="s">
        <v>26</v>
      </c>
      <c r="G4024" s="8">
        <v>67.7</v>
      </c>
      <c r="H4024" s="6"/>
    </row>
    <row r="4025" spans="1:8">
      <c r="A4025" s="5">
        <v>3869</v>
      </c>
      <c r="B4025" s="6" t="str">
        <f>"李思思"</f>
        <v>李思思</v>
      </c>
      <c r="C4025" s="6" t="str">
        <f t="shared" si="188"/>
        <v>女</v>
      </c>
      <c r="D4025" s="6" t="str">
        <f>"202137041806"</f>
        <v>202137041806</v>
      </c>
      <c r="E4025" s="10" t="s">
        <v>27</v>
      </c>
      <c r="F4025" s="6" t="s">
        <v>26</v>
      </c>
      <c r="G4025" s="8">
        <v>60.2</v>
      </c>
      <c r="H4025" s="6"/>
    </row>
    <row r="4026" spans="1:8">
      <c r="A4026" s="5">
        <v>3865</v>
      </c>
      <c r="B4026" s="6" t="str">
        <f>"刘茜怡"</f>
        <v>刘茜怡</v>
      </c>
      <c r="C4026" s="6" t="str">
        <f t="shared" si="188"/>
        <v>女</v>
      </c>
      <c r="D4026" s="6" t="str">
        <f>"202137041807"</f>
        <v>202137041807</v>
      </c>
      <c r="E4026" s="10" t="s">
        <v>27</v>
      </c>
      <c r="F4026" s="6" t="s">
        <v>26</v>
      </c>
      <c r="G4026" s="8">
        <v>0</v>
      </c>
      <c r="H4026" s="9">
        <v>1</v>
      </c>
    </row>
    <row r="4027" spans="1:8">
      <c r="A4027" s="5">
        <v>3876</v>
      </c>
      <c r="B4027" s="6" t="str">
        <f>"张梓琴"</f>
        <v>张梓琴</v>
      </c>
      <c r="C4027" s="6" t="str">
        <f t="shared" si="188"/>
        <v>女</v>
      </c>
      <c r="D4027" s="6" t="str">
        <f>"202137041808"</f>
        <v>202137041808</v>
      </c>
      <c r="E4027" s="10" t="s">
        <v>27</v>
      </c>
      <c r="F4027" s="6" t="s">
        <v>26</v>
      </c>
      <c r="G4027" s="8">
        <v>69</v>
      </c>
      <c r="H4027" s="6"/>
    </row>
    <row r="4028" spans="1:8">
      <c r="A4028" s="5">
        <v>3872</v>
      </c>
      <c r="B4028" s="6" t="str">
        <f>"郑梅芳"</f>
        <v>郑梅芳</v>
      </c>
      <c r="C4028" s="6" t="str">
        <f t="shared" si="188"/>
        <v>女</v>
      </c>
      <c r="D4028" s="6" t="str">
        <f>"202137041809"</f>
        <v>202137041809</v>
      </c>
      <c r="E4028" s="10" t="s">
        <v>27</v>
      </c>
      <c r="F4028" s="6" t="s">
        <v>26</v>
      </c>
      <c r="G4028" s="8">
        <v>79.55</v>
      </c>
      <c r="H4028" s="6"/>
    </row>
    <row r="4029" spans="1:8">
      <c r="A4029" s="5">
        <v>3877</v>
      </c>
      <c r="B4029" s="6" t="str">
        <f>"黄旭"</f>
        <v>黄旭</v>
      </c>
      <c r="C4029" s="6" t="str">
        <f t="shared" si="188"/>
        <v>女</v>
      </c>
      <c r="D4029" s="6" t="str">
        <f>"202137041810"</f>
        <v>202137041810</v>
      </c>
      <c r="E4029" s="10" t="s">
        <v>27</v>
      </c>
      <c r="F4029" s="6" t="s">
        <v>26</v>
      </c>
      <c r="G4029" s="8">
        <v>71.7</v>
      </c>
      <c r="H4029" s="6"/>
    </row>
    <row r="4030" spans="1:8">
      <c r="A4030" s="5">
        <v>3875</v>
      </c>
      <c r="B4030" s="6" t="str">
        <f>"左涵"</f>
        <v>左涵</v>
      </c>
      <c r="C4030" s="6" t="str">
        <f t="shared" si="188"/>
        <v>女</v>
      </c>
      <c r="D4030" s="6" t="str">
        <f>"202137041811"</f>
        <v>202137041811</v>
      </c>
      <c r="E4030" s="10" t="s">
        <v>27</v>
      </c>
      <c r="F4030" s="6" t="s">
        <v>26</v>
      </c>
      <c r="G4030" s="8">
        <v>79.349999999999994</v>
      </c>
      <c r="H4030" s="6"/>
    </row>
    <row r="4031" spans="1:8">
      <c r="A4031" s="5">
        <v>3890</v>
      </c>
      <c r="B4031" s="6" t="str">
        <f>"李姗珊"</f>
        <v>李姗珊</v>
      </c>
      <c r="C4031" s="6" t="str">
        <f t="shared" si="188"/>
        <v>女</v>
      </c>
      <c r="D4031" s="6" t="str">
        <f>"202138023015"</f>
        <v>202138023015</v>
      </c>
      <c r="E4031" s="10" t="s">
        <v>27</v>
      </c>
      <c r="F4031" s="6" t="s">
        <v>16</v>
      </c>
      <c r="G4031" s="8">
        <v>68.599999999999994</v>
      </c>
      <c r="H4031" s="6"/>
    </row>
    <row r="4032" spans="1:8">
      <c r="A4032" s="5">
        <v>3880</v>
      </c>
      <c r="B4032" s="6" t="str">
        <f>"陈涓芝"</f>
        <v>陈涓芝</v>
      </c>
      <c r="C4032" s="6" t="str">
        <f t="shared" si="188"/>
        <v>女</v>
      </c>
      <c r="D4032" s="6" t="str">
        <f>"202138023016"</f>
        <v>202138023016</v>
      </c>
      <c r="E4032" s="10" t="s">
        <v>27</v>
      </c>
      <c r="F4032" s="6" t="s">
        <v>16</v>
      </c>
      <c r="G4032" s="8">
        <v>69.150000000000006</v>
      </c>
      <c r="H4032" s="6"/>
    </row>
    <row r="4033" spans="1:8">
      <c r="A4033" s="5">
        <v>3893</v>
      </c>
      <c r="B4033" s="6" t="str">
        <f>"廖忠雯"</f>
        <v>廖忠雯</v>
      </c>
      <c r="C4033" s="6" t="str">
        <f t="shared" si="188"/>
        <v>女</v>
      </c>
      <c r="D4033" s="6" t="str">
        <f>"202138023017"</f>
        <v>202138023017</v>
      </c>
      <c r="E4033" s="10" t="s">
        <v>27</v>
      </c>
      <c r="F4033" s="6" t="s">
        <v>16</v>
      </c>
      <c r="G4033" s="8">
        <v>67.099999999999994</v>
      </c>
      <c r="H4033" s="6"/>
    </row>
    <row r="4034" spans="1:8">
      <c r="A4034" s="5">
        <v>3887</v>
      </c>
      <c r="B4034" s="6" t="str">
        <f>"何丽慧芝"</f>
        <v>何丽慧芝</v>
      </c>
      <c r="C4034" s="6" t="str">
        <f t="shared" si="188"/>
        <v>女</v>
      </c>
      <c r="D4034" s="6" t="str">
        <f>"202138023018"</f>
        <v>202138023018</v>
      </c>
      <c r="E4034" s="10" t="s">
        <v>27</v>
      </c>
      <c r="F4034" s="6" t="s">
        <v>16</v>
      </c>
      <c r="G4034" s="8">
        <v>56.15</v>
      </c>
      <c r="H4034" s="6"/>
    </row>
    <row r="4035" spans="1:8">
      <c r="A4035" s="5">
        <v>3889</v>
      </c>
      <c r="B4035" s="6" t="str">
        <f>"罗秋桃"</f>
        <v>罗秋桃</v>
      </c>
      <c r="C4035" s="6" t="str">
        <f t="shared" si="188"/>
        <v>女</v>
      </c>
      <c r="D4035" s="6" t="str">
        <f>"202138023019"</f>
        <v>202138023019</v>
      </c>
      <c r="E4035" s="10" t="s">
        <v>27</v>
      </c>
      <c r="F4035" s="6" t="s">
        <v>16</v>
      </c>
      <c r="G4035" s="8">
        <v>70.5</v>
      </c>
      <c r="H4035" s="6"/>
    </row>
    <row r="4036" spans="1:8">
      <c r="A4036" s="5">
        <v>3882</v>
      </c>
      <c r="B4036" s="6" t="str">
        <f>"李又华"</f>
        <v>李又华</v>
      </c>
      <c r="C4036" s="6" t="str">
        <f t="shared" si="188"/>
        <v>女</v>
      </c>
      <c r="D4036" s="6" t="str">
        <f>"202138023020"</f>
        <v>202138023020</v>
      </c>
      <c r="E4036" s="10" t="s">
        <v>27</v>
      </c>
      <c r="F4036" s="6" t="s">
        <v>16</v>
      </c>
      <c r="G4036" s="8">
        <v>23.4</v>
      </c>
      <c r="H4036" s="6"/>
    </row>
    <row r="4037" spans="1:8">
      <c r="A4037" s="5">
        <v>3886</v>
      </c>
      <c r="B4037" s="6" t="str">
        <f>"岳鑫"</f>
        <v>岳鑫</v>
      </c>
      <c r="C4037" s="6" t="str">
        <f t="shared" si="188"/>
        <v>女</v>
      </c>
      <c r="D4037" s="6" t="str">
        <f>"202138023021"</f>
        <v>202138023021</v>
      </c>
      <c r="E4037" s="10" t="s">
        <v>27</v>
      </c>
      <c r="F4037" s="6" t="s">
        <v>16</v>
      </c>
      <c r="G4037" s="8">
        <v>72.25</v>
      </c>
      <c r="H4037" s="6"/>
    </row>
    <row r="4038" spans="1:8">
      <c r="A4038" s="5">
        <v>3881</v>
      </c>
      <c r="B4038" s="6" t="str">
        <f>"邓欧丽"</f>
        <v>邓欧丽</v>
      </c>
      <c r="C4038" s="6" t="str">
        <f t="shared" si="188"/>
        <v>女</v>
      </c>
      <c r="D4038" s="6" t="str">
        <f>"202138023022"</f>
        <v>202138023022</v>
      </c>
      <c r="E4038" s="10" t="s">
        <v>27</v>
      </c>
      <c r="F4038" s="6" t="s">
        <v>16</v>
      </c>
      <c r="G4038" s="8">
        <v>73.55</v>
      </c>
      <c r="H4038" s="6"/>
    </row>
    <row r="4039" spans="1:8">
      <c r="A4039" s="5">
        <v>3892</v>
      </c>
      <c r="B4039" s="6" t="str">
        <f>"苏靖"</f>
        <v>苏靖</v>
      </c>
      <c r="C4039" s="6" t="str">
        <f>"男"</f>
        <v>男</v>
      </c>
      <c r="D4039" s="6" t="str">
        <f>"202138023023"</f>
        <v>202138023023</v>
      </c>
      <c r="E4039" s="10" t="s">
        <v>27</v>
      </c>
      <c r="F4039" s="6" t="s">
        <v>16</v>
      </c>
      <c r="G4039" s="8">
        <v>56.2</v>
      </c>
      <c r="H4039" s="6"/>
    </row>
    <row r="4040" spans="1:8">
      <c r="A4040" s="5">
        <v>3883</v>
      </c>
      <c r="B4040" s="6" t="str">
        <f>"杨海丽"</f>
        <v>杨海丽</v>
      </c>
      <c r="C4040" s="6" t="str">
        <f t="shared" ref="C4040:C4071" si="189">"女"</f>
        <v>女</v>
      </c>
      <c r="D4040" s="6" t="str">
        <f>"202138023024"</f>
        <v>202138023024</v>
      </c>
      <c r="E4040" s="10" t="s">
        <v>27</v>
      </c>
      <c r="F4040" s="6" t="s">
        <v>16</v>
      </c>
      <c r="G4040" s="8">
        <v>64.2</v>
      </c>
      <c r="H4040" s="6"/>
    </row>
    <row r="4041" spans="1:8">
      <c r="A4041" s="5">
        <v>3879</v>
      </c>
      <c r="B4041" s="6" t="str">
        <f>"肖丽佳"</f>
        <v>肖丽佳</v>
      </c>
      <c r="C4041" s="6" t="str">
        <f t="shared" si="189"/>
        <v>女</v>
      </c>
      <c r="D4041" s="6" t="str">
        <f>"202138023025"</f>
        <v>202138023025</v>
      </c>
      <c r="E4041" s="10" t="s">
        <v>27</v>
      </c>
      <c r="F4041" s="6" t="s">
        <v>16</v>
      </c>
      <c r="G4041" s="8">
        <v>0</v>
      </c>
      <c r="H4041" s="9">
        <v>1</v>
      </c>
    </row>
    <row r="4042" spans="1:8">
      <c r="A4042" s="5">
        <v>3885</v>
      </c>
      <c r="B4042" s="6" t="str">
        <f>"朱玲玲"</f>
        <v>朱玲玲</v>
      </c>
      <c r="C4042" s="6" t="str">
        <f t="shared" si="189"/>
        <v>女</v>
      </c>
      <c r="D4042" s="6" t="str">
        <f>"202138023026"</f>
        <v>202138023026</v>
      </c>
      <c r="E4042" s="10" t="s">
        <v>27</v>
      </c>
      <c r="F4042" s="6" t="s">
        <v>16</v>
      </c>
      <c r="G4042" s="8">
        <v>64.650000000000006</v>
      </c>
      <c r="H4042" s="6"/>
    </row>
    <row r="4043" spans="1:8">
      <c r="A4043" s="5">
        <v>3891</v>
      </c>
      <c r="B4043" s="6" t="str">
        <f>"周英豪"</f>
        <v>周英豪</v>
      </c>
      <c r="C4043" s="6" t="str">
        <f t="shared" si="189"/>
        <v>女</v>
      </c>
      <c r="D4043" s="6" t="str">
        <f>"202138023027"</f>
        <v>202138023027</v>
      </c>
      <c r="E4043" s="10" t="s">
        <v>27</v>
      </c>
      <c r="F4043" s="6" t="s">
        <v>16</v>
      </c>
      <c r="G4043" s="8">
        <v>68.849999999999994</v>
      </c>
      <c r="H4043" s="6"/>
    </row>
    <row r="4044" spans="1:8">
      <c r="A4044" s="5">
        <v>3884</v>
      </c>
      <c r="B4044" s="6" t="str">
        <f>"陈淑娟"</f>
        <v>陈淑娟</v>
      </c>
      <c r="C4044" s="6" t="str">
        <f t="shared" si="189"/>
        <v>女</v>
      </c>
      <c r="D4044" s="6" t="str">
        <f>"202138023028"</f>
        <v>202138023028</v>
      </c>
      <c r="E4044" s="10" t="s">
        <v>27</v>
      </c>
      <c r="F4044" s="6" t="s">
        <v>16</v>
      </c>
      <c r="G4044" s="8">
        <v>71.7</v>
      </c>
      <c r="H4044" s="6"/>
    </row>
    <row r="4045" spans="1:8">
      <c r="A4045" s="5">
        <v>3888</v>
      </c>
      <c r="B4045" s="6" t="str">
        <f>"罗文会"</f>
        <v>罗文会</v>
      </c>
      <c r="C4045" s="6" t="str">
        <f t="shared" si="189"/>
        <v>女</v>
      </c>
      <c r="D4045" s="6" t="str">
        <f>"202138023029"</f>
        <v>202138023029</v>
      </c>
      <c r="E4045" s="10" t="s">
        <v>27</v>
      </c>
      <c r="F4045" s="6" t="s">
        <v>16</v>
      </c>
      <c r="G4045" s="8">
        <v>69.650000000000006</v>
      </c>
      <c r="H4045" s="6"/>
    </row>
    <row r="4046" spans="1:8">
      <c r="A4046" s="5">
        <v>3899</v>
      </c>
      <c r="B4046" s="6" t="str">
        <f>"龙柏霏"</f>
        <v>龙柏霏</v>
      </c>
      <c r="C4046" s="6" t="str">
        <f t="shared" si="189"/>
        <v>女</v>
      </c>
      <c r="D4046" s="6" t="str">
        <f>"202139023030"</f>
        <v>202139023030</v>
      </c>
      <c r="E4046" s="10" t="s">
        <v>27</v>
      </c>
      <c r="F4046" s="6" t="s">
        <v>17</v>
      </c>
      <c r="G4046" s="8">
        <v>57.2</v>
      </c>
      <c r="H4046" s="6"/>
    </row>
    <row r="4047" spans="1:8">
      <c r="A4047" s="5">
        <v>3898</v>
      </c>
      <c r="B4047" s="6" t="str">
        <f>"黄玲"</f>
        <v>黄玲</v>
      </c>
      <c r="C4047" s="6" t="str">
        <f t="shared" si="189"/>
        <v>女</v>
      </c>
      <c r="D4047" s="6" t="str">
        <f>"202139023201"</f>
        <v>202139023201</v>
      </c>
      <c r="E4047" s="10" t="s">
        <v>27</v>
      </c>
      <c r="F4047" s="6" t="s">
        <v>17</v>
      </c>
      <c r="G4047" s="8">
        <v>73</v>
      </c>
      <c r="H4047" s="6"/>
    </row>
    <row r="4048" spans="1:8">
      <c r="A4048" s="5">
        <v>3895</v>
      </c>
      <c r="B4048" s="6" t="str">
        <f>"肖艳芳"</f>
        <v>肖艳芳</v>
      </c>
      <c r="C4048" s="6" t="str">
        <f t="shared" si="189"/>
        <v>女</v>
      </c>
      <c r="D4048" s="6" t="str">
        <f>"202139023202"</f>
        <v>202139023202</v>
      </c>
      <c r="E4048" s="10" t="s">
        <v>27</v>
      </c>
      <c r="F4048" s="6" t="s">
        <v>17</v>
      </c>
      <c r="G4048" s="8">
        <v>70</v>
      </c>
      <c r="H4048" s="6"/>
    </row>
    <row r="4049" spans="1:8">
      <c r="A4049" s="5">
        <v>3896</v>
      </c>
      <c r="B4049" s="6" t="str">
        <f>"蔡燕玲"</f>
        <v>蔡燕玲</v>
      </c>
      <c r="C4049" s="6" t="str">
        <f t="shared" si="189"/>
        <v>女</v>
      </c>
      <c r="D4049" s="6" t="str">
        <f>"202139023203"</f>
        <v>202139023203</v>
      </c>
      <c r="E4049" s="10" t="s">
        <v>27</v>
      </c>
      <c r="F4049" s="6" t="s">
        <v>17</v>
      </c>
      <c r="G4049" s="8">
        <v>57.55</v>
      </c>
      <c r="H4049" s="6"/>
    </row>
    <row r="4050" spans="1:8">
      <c r="A4050" s="5">
        <v>3894</v>
      </c>
      <c r="B4050" s="6" t="str">
        <f>"付诗"</f>
        <v>付诗</v>
      </c>
      <c r="C4050" s="6" t="str">
        <f t="shared" si="189"/>
        <v>女</v>
      </c>
      <c r="D4050" s="6" t="str">
        <f>"202139023204"</f>
        <v>202139023204</v>
      </c>
      <c r="E4050" s="10" t="s">
        <v>27</v>
      </c>
      <c r="F4050" s="6" t="s">
        <v>17</v>
      </c>
      <c r="G4050" s="8">
        <v>72.8</v>
      </c>
      <c r="H4050" s="6"/>
    </row>
    <row r="4051" spans="1:8">
      <c r="A4051" s="5">
        <v>3897</v>
      </c>
      <c r="B4051" s="6" t="str">
        <f>"徐萌"</f>
        <v>徐萌</v>
      </c>
      <c r="C4051" s="6" t="str">
        <f t="shared" si="189"/>
        <v>女</v>
      </c>
      <c r="D4051" s="6" t="str">
        <f>"202139023205"</f>
        <v>202139023205</v>
      </c>
      <c r="E4051" s="10" t="s">
        <v>27</v>
      </c>
      <c r="F4051" s="6" t="s">
        <v>17</v>
      </c>
      <c r="G4051" s="8">
        <v>63.6</v>
      </c>
      <c r="H4051" s="6"/>
    </row>
    <row r="4052" spans="1:8">
      <c r="A4052" s="5">
        <v>4109</v>
      </c>
      <c r="B4052" s="6" t="str">
        <f>"高嘉慧"</f>
        <v>高嘉慧</v>
      </c>
      <c r="C4052" s="6" t="str">
        <f t="shared" si="189"/>
        <v>女</v>
      </c>
      <c r="D4052" s="6" t="str">
        <f>"202140041901"</f>
        <v>202140041901</v>
      </c>
      <c r="E4052" s="10" t="s">
        <v>28</v>
      </c>
      <c r="F4052" s="6" t="s">
        <v>28</v>
      </c>
      <c r="G4052" s="8">
        <v>55.4</v>
      </c>
      <c r="H4052" s="6"/>
    </row>
    <row r="4053" spans="1:8">
      <c r="A4053" s="5">
        <v>4014</v>
      </c>
      <c r="B4053" s="6" t="str">
        <f>"谭柳青"</f>
        <v>谭柳青</v>
      </c>
      <c r="C4053" s="6" t="str">
        <f t="shared" si="189"/>
        <v>女</v>
      </c>
      <c r="D4053" s="6" t="str">
        <f>"202140041902"</f>
        <v>202140041902</v>
      </c>
      <c r="E4053" s="10" t="s">
        <v>28</v>
      </c>
      <c r="F4053" s="6" t="s">
        <v>28</v>
      </c>
      <c r="G4053" s="8">
        <v>64.05</v>
      </c>
      <c r="H4053" s="6"/>
    </row>
    <row r="4054" spans="1:8">
      <c r="A4054" s="5">
        <v>3938</v>
      </c>
      <c r="B4054" s="6" t="str">
        <f>"谭银环"</f>
        <v>谭银环</v>
      </c>
      <c r="C4054" s="6" t="str">
        <f t="shared" si="189"/>
        <v>女</v>
      </c>
      <c r="D4054" s="6" t="str">
        <f>"202140041903"</f>
        <v>202140041903</v>
      </c>
      <c r="E4054" s="10" t="s">
        <v>28</v>
      </c>
      <c r="F4054" s="6" t="s">
        <v>28</v>
      </c>
      <c r="G4054" s="8">
        <v>58</v>
      </c>
      <c r="H4054" s="6"/>
    </row>
    <row r="4055" spans="1:8">
      <c r="A4055" s="5">
        <v>4126</v>
      </c>
      <c r="B4055" s="6" t="str">
        <f>"许要梅"</f>
        <v>许要梅</v>
      </c>
      <c r="C4055" s="6" t="str">
        <f t="shared" si="189"/>
        <v>女</v>
      </c>
      <c r="D4055" s="6" t="str">
        <f>"202140041904"</f>
        <v>202140041904</v>
      </c>
      <c r="E4055" s="10" t="s">
        <v>28</v>
      </c>
      <c r="F4055" s="6" t="s">
        <v>28</v>
      </c>
      <c r="G4055" s="8">
        <v>68.3</v>
      </c>
      <c r="H4055" s="6"/>
    </row>
    <row r="4056" spans="1:8">
      <c r="A4056" s="5">
        <v>4030</v>
      </c>
      <c r="B4056" s="6" t="str">
        <f>"姚洁"</f>
        <v>姚洁</v>
      </c>
      <c r="C4056" s="6" t="str">
        <f t="shared" si="189"/>
        <v>女</v>
      </c>
      <c r="D4056" s="6" t="str">
        <f>"202140041905"</f>
        <v>202140041905</v>
      </c>
      <c r="E4056" s="10" t="s">
        <v>28</v>
      </c>
      <c r="F4056" s="6" t="s">
        <v>28</v>
      </c>
      <c r="G4056" s="8">
        <v>47.8</v>
      </c>
      <c r="H4056" s="6"/>
    </row>
    <row r="4057" spans="1:8">
      <c r="A4057" s="5">
        <v>4185</v>
      </c>
      <c r="B4057" s="6" t="str">
        <f>"万桃玲"</f>
        <v>万桃玲</v>
      </c>
      <c r="C4057" s="6" t="str">
        <f t="shared" si="189"/>
        <v>女</v>
      </c>
      <c r="D4057" s="6" t="str">
        <f>"202140041906"</f>
        <v>202140041906</v>
      </c>
      <c r="E4057" s="10" t="s">
        <v>28</v>
      </c>
      <c r="F4057" s="6" t="s">
        <v>28</v>
      </c>
      <c r="G4057" s="8">
        <v>58.75</v>
      </c>
      <c r="H4057" s="6"/>
    </row>
    <row r="4058" spans="1:8">
      <c r="A4058" s="5">
        <v>4176</v>
      </c>
      <c r="B4058" s="6" t="str">
        <f>"谢心仪"</f>
        <v>谢心仪</v>
      </c>
      <c r="C4058" s="6" t="str">
        <f t="shared" si="189"/>
        <v>女</v>
      </c>
      <c r="D4058" s="6" t="str">
        <f>"202140041907"</f>
        <v>202140041907</v>
      </c>
      <c r="E4058" s="10" t="s">
        <v>28</v>
      </c>
      <c r="F4058" s="6" t="s">
        <v>28</v>
      </c>
      <c r="G4058" s="8">
        <v>51.05</v>
      </c>
      <c r="H4058" s="6"/>
    </row>
    <row r="4059" spans="1:8">
      <c r="A4059" s="5">
        <v>3995</v>
      </c>
      <c r="B4059" s="6" t="str">
        <f>"常玉巧"</f>
        <v>常玉巧</v>
      </c>
      <c r="C4059" s="6" t="str">
        <f t="shared" si="189"/>
        <v>女</v>
      </c>
      <c r="D4059" s="6" t="str">
        <f>"202140041908"</f>
        <v>202140041908</v>
      </c>
      <c r="E4059" s="10" t="s">
        <v>28</v>
      </c>
      <c r="F4059" s="6" t="s">
        <v>28</v>
      </c>
      <c r="G4059" s="8">
        <v>54.4</v>
      </c>
      <c r="H4059" s="6"/>
    </row>
    <row r="4060" spans="1:8">
      <c r="A4060" s="5">
        <v>3946</v>
      </c>
      <c r="B4060" s="6" t="str">
        <f>"吕燕欢"</f>
        <v>吕燕欢</v>
      </c>
      <c r="C4060" s="6" t="str">
        <f t="shared" si="189"/>
        <v>女</v>
      </c>
      <c r="D4060" s="6" t="str">
        <f>"202140041909"</f>
        <v>202140041909</v>
      </c>
      <c r="E4060" s="10" t="s">
        <v>28</v>
      </c>
      <c r="F4060" s="6" t="s">
        <v>28</v>
      </c>
      <c r="G4060" s="8">
        <v>63.15</v>
      </c>
      <c r="H4060" s="6"/>
    </row>
    <row r="4061" spans="1:8">
      <c r="A4061" s="5">
        <v>3962</v>
      </c>
      <c r="B4061" s="6" t="str">
        <f>"莫单单"</f>
        <v>莫单单</v>
      </c>
      <c r="C4061" s="6" t="str">
        <f t="shared" si="189"/>
        <v>女</v>
      </c>
      <c r="D4061" s="6" t="str">
        <f>"202140041910"</f>
        <v>202140041910</v>
      </c>
      <c r="E4061" s="10" t="s">
        <v>28</v>
      </c>
      <c r="F4061" s="6" t="s">
        <v>28</v>
      </c>
      <c r="G4061" s="8">
        <v>55.6</v>
      </c>
      <c r="H4061" s="6"/>
    </row>
    <row r="4062" spans="1:8">
      <c r="A4062" s="5">
        <v>3985</v>
      </c>
      <c r="B4062" s="6" t="str">
        <f>"罗婷"</f>
        <v>罗婷</v>
      </c>
      <c r="C4062" s="6" t="str">
        <f t="shared" si="189"/>
        <v>女</v>
      </c>
      <c r="D4062" s="6" t="str">
        <f>"202140041911"</f>
        <v>202140041911</v>
      </c>
      <c r="E4062" s="10" t="s">
        <v>28</v>
      </c>
      <c r="F4062" s="6" t="s">
        <v>28</v>
      </c>
      <c r="G4062" s="8">
        <v>42.7</v>
      </c>
      <c r="H4062" s="6"/>
    </row>
    <row r="4063" spans="1:8">
      <c r="A4063" s="5">
        <v>4009</v>
      </c>
      <c r="B4063" s="6" t="str">
        <f>"胡雨虹"</f>
        <v>胡雨虹</v>
      </c>
      <c r="C4063" s="6" t="str">
        <f t="shared" si="189"/>
        <v>女</v>
      </c>
      <c r="D4063" s="6" t="str">
        <f>"202140041912"</f>
        <v>202140041912</v>
      </c>
      <c r="E4063" s="10" t="s">
        <v>28</v>
      </c>
      <c r="F4063" s="6" t="s">
        <v>28</v>
      </c>
      <c r="G4063" s="8">
        <v>59.5</v>
      </c>
      <c r="H4063" s="6"/>
    </row>
    <row r="4064" spans="1:8">
      <c r="A4064" s="5">
        <v>4166</v>
      </c>
      <c r="B4064" s="6" t="str">
        <f>"彭嘉"</f>
        <v>彭嘉</v>
      </c>
      <c r="C4064" s="6" t="str">
        <f t="shared" si="189"/>
        <v>女</v>
      </c>
      <c r="D4064" s="6" t="str">
        <f>"202140041913"</f>
        <v>202140041913</v>
      </c>
      <c r="E4064" s="10" t="s">
        <v>28</v>
      </c>
      <c r="F4064" s="6" t="s">
        <v>28</v>
      </c>
      <c r="G4064" s="8">
        <v>69.45</v>
      </c>
      <c r="H4064" s="6"/>
    </row>
    <row r="4065" spans="1:8">
      <c r="A4065" s="5">
        <v>4193</v>
      </c>
      <c r="B4065" s="6" t="str">
        <f>"钟慧娴"</f>
        <v>钟慧娴</v>
      </c>
      <c r="C4065" s="6" t="str">
        <f t="shared" si="189"/>
        <v>女</v>
      </c>
      <c r="D4065" s="6" t="str">
        <f>"202140041914"</f>
        <v>202140041914</v>
      </c>
      <c r="E4065" s="10" t="s">
        <v>28</v>
      </c>
      <c r="F4065" s="6" t="s">
        <v>28</v>
      </c>
      <c r="G4065" s="8">
        <v>55.8</v>
      </c>
      <c r="H4065" s="6"/>
    </row>
    <row r="4066" spans="1:8">
      <c r="A4066" s="5">
        <v>3972</v>
      </c>
      <c r="B4066" s="6" t="str">
        <f>"陈美玲"</f>
        <v>陈美玲</v>
      </c>
      <c r="C4066" s="6" t="str">
        <f t="shared" si="189"/>
        <v>女</v>
      </c>
      <c r="D4066" s="6" t="str">
        <f>"202140041915"</f>
        <v>202140041915</v>
      </c>
      <c r="E4066" s="10" t="s">
        <v>28</v>
      </c>
      <c r="F4066" s="6" t="s">
        <v>28</v>
      </c>
      <c r="G4066" s="8">
        <v>62.35</v>
      </c>
      <c r="H4066" s="6"/>
    </row>
    <row r="4067" spans="1:8">
      <c r="A4067" s="5">
        <v>4090</v>
      </c>
      <c r="B4067" s="6" t="str">
        <f>"唐媛媛"</f>
        <v>唐媛媛</v>
      </c>
      <c r="C4067" s="6" t="str">
        <f t="shared" si="189"/>
        <v>女</v>
      </c>
      <c r="D4067" s="6" t="str">
        <f>"202140041916"</f>
        <v>202140041916</v>
      </c>
      <c r="E4067" s="10" t="s">
        <v>28</v>
      </c>
      <c r="F4067" s="6" t="s">
        <v>28</v>
      </c>
      <c r="G4067" s="8">
        <v>53.45</v>
      </c>
      <c r="H4067" s="6"/>
    </row>
    <row r="4068" spans="1:8">
      <c r="A4068" s="5">
        <v>4058</v>
      </c>
      <c r="B4068" s="6" t="str">
        <f>"王曾"</f>
        <v>王曾</v>
      </c>
      <c r="C4068" s="6" t="str">
        <f t="shared" si="189"/>
        <v>女</v>
      </c>
      <c r="D4068" s="6" t="str">
        <f>"202140041917"</f>
        <v>202140041917</v>
      </c>
      <c r="E4068" s="10" t="s">
        <v>28</v>
      </c>
      <c r="F4068" s="6" t="s">
        <v>28</v>
      </c>
      <c r="G4068" s="8">
        <v>62.55</v>
      </c>
      <c r="H4068" s="6"/>
    </row>
    <row r="4069" spans="1:8">
      <c r="A4069" s="5">
        <v>4182</v>
      </c>
      <c r="B4069" s="6" t="str">
        <f>"刘云"</f>
        <v>刘云</v>
      </c>
      <c r="C4069" s="6" t="str">
        <f t="shared" si="189"/>
        <v>女</v>
      </c>
      <c r="D4069" s="6" t="str">
        <f>"202140041918"</f>
        <v>202140041918</v>
      </c>
      <c r="E4069" s="10" t="s">
        <v>28</v>
      </c>
      <c r="F4069" s="6" t="s">
        <v>28</v>
      </c>
      <c r="G4069" s="8">
        <v>53.6</v>
      </c>
      <c r="H4069" s="6"/>
    </row>
    <row r="4070" spans="1:8">
      <c r="A4070" s="5">
        <v>3954</v>
      </c>
      <c r="B4070" s="6" t="str">
        <f>"陈梅"</f>
        <v>陈梅</v>
      </c>
      <c r="C4070" s="6" t="str">
        <f t="shared" si="189"/>
        <v>女</v>
      </c>
      <c r="D4070" s="6" t="str">
        <f>"202140041919"</f>
        <v>202140041919</v>
      </c>
      <c r="E4070" s="10" t="s">
        <v>28</v>
      </c>
      <c r="F4070" s="6" t="s">
        <v>28</v>
      </c>
      <c r="G4070" s="8">
        <v>69.3</v>
      </c>
      <c r="H4070" s="6"/>
    </row>
    <row r="4071" spans="1:8">
      <c r="A4071" s="5">
        <v>3968</v>
      </c>
      <c r="B4071" s="6" t="str">
        <f>"郑倩"</f>
        <v>郑倩</v>
      </c>
      <c r="C4071" s="6" t="str">
        <f t="shared" si="189"/>
        <v>女</v>
      </c>
      <c r="D4071" s="6" t="str">
        <f>"202140041920"</f>
        <v>202140041920</v>
      </c>
      <c r="E4071" s="10" t="s">
        <v>28</v>
      </c>
      <c r="F4071" s="6" t="s">
        <v>28</v>
      </c>
      <c r="G4071" s="8">
        <v>39.35</v>
      </c>
      <c r="H4071" s="6"/>
    </row>
    <row r="4072" spans="1:8">
      <c r="A4072" s="5">
        <v>3950</v>
      </c>
      <c r="B4072" s="6" t="str">
        <f>"陈丽"</f>
        <v>陈丽</v>
      </c>
      <c r="C4072" s="6" t="str">
        <f t="shared" ref="C4072:C4103" si="190">"女"</f>
        <v>女</v>
      </c>
      <c r="D4072" s="6" t="str">
        <f>"202140041921"</f>
        <v>202140041921</v>
      </c>
      <c r="E4072" s="10" t="s">
        <v>28</v>
      </c>
      <c r="F4072" s="6" t="s">
        <v>28</v>
      </c>
      <c r="G4072" s="8">
        <v>64.75</v>
      </c>
      <c r="H4072" s="6"/>
    </row>
    <row r="4073" spans="1:8">
      <c r="A4073" s="5">
        <v>3948</v>
      </c>
      <c r="B4073" s="6" t="str">
        <f>"杨婷"</f>
        <v>杨婷</v>
      </c>
      <c r="C4073" s="6" t="str">
        <f t="shared" si="190"/>
        <v>女</v>
      </c>
      <c r="D4073" s="6" t="str">
        <f>"202140041922"</f>
        <v>202140041922</v>
      </c>
      <c r="E4073" s="10" t="s">
        <v>28</v>
      </c>
      <c r="F4073" s="6" t="s">
        <v>28</v>
      </c>
      <c r="G4073" s="8">
        <v>0</v>
      </c>
      <c r="H4073" s="9">
        <v>1</v>
      </c>
    </row>
    <row r="4074" spans="1:8">
      <c r="A4074" s="5">
        <v>4042</v>
      </c>
      <c r="B4074" s="6" t="str">
        <f>"盛小倩"</f>
        <v>盛小倩</v>
      </c>
      <c r="C4074" s="6" t="str">
        <f t="shared" si="190"/>
        <v>女</v>
      </c>
      <c r="D4074" s="6" t="str">
        <f>"202140041923"</f>
        <v>202140041923</v>
      </c>
      <c r="E4074" s="10" t="s">
        <v>28</v>
      </c>
      <c r="F4074" s="6" t="s">
        <v>28</v>
      </c>
      <c r="G4074" s="8">
        <v>66.75</v>
      </c>
      <c r="H4074" s="6"/>
    </row>
    <row r="4075" spans="1:8">
      <c r="A4075" s="5">
        <v>4022</v>
      </c>
      <c r="B4075" s="6" t="str">
        <f>"谢晨风"</f>
        <v>谢晨风</v>
      </c>
      <c r="C4075" s="6" t="str">
        <f t="shared" si="190"/>
        <v>女</v>
      </c>
      <c r="D4075" s="6" t="str">
        <f>"202140041924"</f>
        <v>202140041924</v>
      </c>
      <c r="E4075" s="10" t="s">
        <v>28</v>
      </c>
      <c r="F4075" s="6" t="s">
        <v>28</v>
      </c>
      <c r="G4075" s="8">
        <v>59.25</v>
      </c>
      <c r="H4075" s="6"/>
    </row>
    <row r="4076" spans="1:8">
      <c r="A4076" s="5">
        <v>4029</v>
      </c>
      <c r="B4076" s="6" t="str">
        <f>"莫方晓"</f>
        <v>莫方晓</v>
      </c>
      <c r="C4076" s="6" t="str">
        <f t="shared" si="190"/>
        <v>女</v>
      </c>
      <c r="D4076" s="6" t="str">
        <f>"202140041925"</f>
        <v>202140041925</v>
      </c>
      <c r="E4076" s="10" t="s">
        <v>28</v>
      </c>
      <c r="F4076" s="6" t="s">
        <v>28</v>
      </c>
      <c r="G4076" s="8">
        <v>54.9</v>
      </c>
      <c r="H4076" s="6"/>
    </row>
    <row r="4077" spans="1:8">
      <c r="A4077" s="5">
        <v>3914</v>
      </c>
      <c r="B4077" s="6" t="str">
        <f>"胡昕"</f>
        <v>胡昕</v>
      </c>
      <c r="C4077" s="6" t="str">
        <f t="shared" si="190"/>
        <v>女</v>
      </c>
      <c r="D4077" s="6" t="str">
        <f>"202140041926"</f>
        <v>202140041926</v>
      </c>
      <c r="E4077" s="10" t="s">
        <v>28</v>
      </c>
      <c r="F4077" s="6" t="s">
        <v>28</v>
      </c>
      <c r="G4077" s="8">
        <v>0</v>
      </c>
      <c r="H4077" s="9">
        <v>1</v>
      </c>
    </row>
    <row r="4078" spans="1:8">
      <c r="A4078" s="5">
        <v>4148</v>
      </c>
      <c r="B4078" s="6" t="str">
        <f>"罗琛"</f>
        <v>罗琛</v>
      </c>
      <c r="C4078" s="6" t="str">
        <f t="shared" si="190"/>
        <v>女</v>
      </c>
      <c r="D4078" s="6" t="str">
        <f>"202140041927"</f>
        <v>202140041927</v>
      </c>
      <c r="E4078" s="10" t="s">
        <v>28</v>
      </c>
      <c r="F4078" s="6" t="s">
        <v>28</v>
      </c>
      <c r="G4078" s="8">
        <v>45.85</v>
      </c>
      <c r="H4078" s="6"/>
    </row>
    <row r="4079" spans="1:8">
      <c r="A4079" s="5">
        <v>4175</v>
      </c>
      <c r="B4079" s="6" t="str">
        <f>"姚千红"</f>
        <v>姚千红</v>
      </c>
      <c r="C4079" s="6" t="str">
        <f t="shared" si="190"/>
        <v>女</v>
      </c>
      <c r="D4079" s="6" t="str">
        <f>"202140041928"</f>
        <v>202140041928</v>
      </c>
      <c r="E4079" s="10" t="s">
        <v>28</v>
      </c>
      <c r="F4079" s="6" t="s">
        <v>28</v>
      </c>
      <c r="G4079" s="8">
        <v>65.599999999999994</v>
      </c>
      <c r="H4079" s="6"/>
    </row>
    <row r="4080" spans="1:8">
      <c r="A4080" s="5">
        <v>3945</v>
      </c>
      <c r="B4080" s="6" t="str">
        <f>"罗梓菱"</f>
        <v>罗梓菱</v>
      </c>
      <c r="C4080" s="6" t="str">
        <f t="shared" si="190"/>
        <v>女</v>
      </c>
      <c r="D4080" s="6" t="str">
        <f>"202140041929"</f>
        <v>202140041929</v>
      </c>
      <c r="E4080" s="10" t="s">
        <v>28</v>
      </c>
      <c r="F4080" s="6" t="s">
        <v>28</v>
      </c>
      <c r="G4080" s="8">
        <v>68.95</v>
      </c>
      <c r="H4080" s="6"/>
    </row>
    <row r="4081" spans="1:8">
      <c r="A4081" s="5">
        <v>3935</v>
      </c>
      <c r="B4081" s="6" t="str">
        <f>"屈林莉"</f>
        <v>屈林莉</v>
      </c>
      <c r="C4081" s="6" t="str">
        <f t="shared" si="190"/>
        <v>女</v>
      </c>
      <c r="D4081" s="6" t="str">
        <f>"202140041930"</f>
        <v>202140041930</v>
      </c>
      <c r="E4081" s="10" t="s">
        <v>28</v>
      </c>
      <c r="F4081" s="6" t="s">
        <v>28</v>
      </c>
      <c r="G4081" s="8">
        <v>63.55</v>
      </c>
      <c r="H4081" s="6"/>
    </row>
    <row r="4082" spans="1:8">
      <c r="A4082" s="5">
        <v>4021</v>
      </c>
      <c r="B4082" s="6" t="str">
        <f>"伍红梅"</f>
        <v>伍红梅</v>
      </c>
      <c r="C4082" s="6" t="str">
        <f t="shared" si="190"/>
        <v>女</v>
      </c>
      <c r="D4082" s="6" t="str">
        <f>"202140042001"</f>
        <v>202140042001</v>
      </c>
      <c r="E4082" s="10" t="s">
        <v>28</v>
      </c>
      <c r="F4082" s="6" t="s">
        <v>28</v>
      </c>
      <c r="G4082" s="8">
        <v>55.35</v>
      </c>
      <c r="H4082" s="6"/>
    </row>
    <row r="4083" spans="1:8">
      <c r="A4083" s="5">
        <v>4191</v>
      </c>
      <c r="B4083" s="6" t="str">
        <f>"肖恣青"</f>
        <v>肖恣青</v>
      </c>
      <c r="C4083" s="6" t="str">
        <f t="shared" si="190"/>
        <v>女</v>
      </c>
      <c r="D4083" s="6" t="str">
        <f>"202140042002"</f>
        <v>202140042002</v>
      </c>
      <c r="E4083" s="10" t="s">
        <v>28</v>
      </c>
      <c r="F4083" s="6" t="s">
        <v>28</v>
      </c>
      <c r="G4083" s="8">
        <v>60.8</v>
      </c>
      <c r="H4083" s="6"/>
    </row>
    <row r="4084" spans="1:8">
      <c r="A4084" s="5">
        <v>4196</v>
      </c>
      <c r="B4084" s="6" t="str">
        <f>"罗知乐"</f>
        <v>罗知乐</v>
      </c>
      <c r="C4084" s="6" t="str">
        <f t="shared" si="190"/>
        <v>女</v>
      </c>
      <c r="D4084" s="6" t="str">
        <f>"202140042003"</f>
        <v>202140042003</v>
      </c>
      <c r="E4084" s="10" t="s">
        <v>28</v>
      </c>
      <c r="F4084" s="6" t="s">
        <v>28</v>
      </c>
      <c r="G4084" s="8">
        <v>57.25</v>
      </c>
      <c r="H4084" s="6"/>
    </row>
    <row r="4085" spans="1:8">
      <c r="A4085" s="5">
        <v>4116</v>
      </c>
      <c r="B4085" s="6" t="str">
        <f>"何艳梅"</f>
        <v>何艳梅</v>
      </c>
      <c r="C4085" s="6" t="str">
        <f t="shared" si="190"/>
        <v>女</v>
      </c>
      <c r="D4085" s="6" t="str">
        <f>"202140042004"</f>
        <v>202140042004</v>
      </c>
      <c r="E4085" s="10" t="s">
        <v>28</v>
      </c>
      <c r="F4085" s="6" t="s">
        <v>28</v>
      </c>
      <c r="G4085" s="8">
        <v>62.3</v>
      </c>
      <c r="H4085" s="6"/>
    </row>
    <row r="4086" spans="1:8">
      <c r="A4086" s="5">
        <v>4144</v>
      </c>
      <c r="B4086" s="6" t="str">
        <f>"刘姣玲"</f>
        <v>刘姣玲</v>
      </c>
      <c r="C4086" s="6" t="str">
        <f t="shared" si="190"/>
        <v>女</v>
      </c>
      <c r="D4086" s="6" t="str">
        <f>"202140042005"</f>
        <v>202140042005</v>
      </c>
      <c r="E4086" s="10" t="s">
        <v>28</v>
      </c>
      <c r="F4086" s="6" t="s">
        <v>28</v>
      </c>
      <c r="G4086" s="8">
        <v>59.9</v>
      </c>
      <c r="H4086" s="6"/>
    </row>
    <row r="4087" spans="1:8">
      <c r="A4087" s="5">
        <v>3952</v>
      </c>
      <c r="B4087" s="6" t="str">
        <f>"吕平"</f>
        <v>吕平</v>
      </c>
      <c r="C4087" s="6" t="str">
        <f t="shared" si="190"/>
        <v>女</v>
      </c>
      <c r="D4087" s="6" t="str">
        <f>"202140042006"</f>
        <v>202140042006</v>
      </c>
      <c r="E4087" s="10" t="s">
        <v>28</v>
      </c>
      <c r="F4087" s="6" t="s">
        <v>28</v>
      </c>
      <c r="G4087" s="8">
        <v>54.25</v>
      </c>
      <c r="H4087" s="6"/>
    </row>
    <row r="4088" spans="1:8">
      <c r="A4088" s="5">
        <v>3921</v>
      </c>
      <c r="B4088" s="6" t="str">
        <f>"陈珍珍"</f>
        <v>陈珍珍</v>
      </c>
      <c r="C4088" s="6" t="str">
        <f t="shared" si="190"/>
        <v>女</v>
      </c>
      <c r="D4088" s="6" t="str">
        <f>"202140042007"</f>
        <v>202140042007</v>
      </c>
      <c r="E4088" s="10" t="s">
        <v>28</v>
      </c>
      <c r="F4088" s="6" t="s">
        <v>28</v>
      </c>
      <c r="G4088" s="8">
        <v>0</v>
      </c>
      <c r="H4088" s="9">
        <v>1</v>
      </c>
    </row>
    <row r="4089" spans="1:8">
      <c r="A4089" s="5">
        <v>4092</v>
      </c>
      <c r="B4089" s="6" t="str">
        <f>"刘焱云"</f>
        <v>刘焱云</v>
      </c>
      <c r="C4089" s="6" t="str">
        <f t="shared" si="190"/>
        <v>女</v>
      </c>
      <c r="D4089" s="6" t="str">
        <f>"202140042008"</f>
        <v>202140042008</v>
      </c>
      <c r="E4089" s="10" t="s">
        <v>28</v>
      </c>
      <c r="F4089" s="6" t="s">
        <v>28</v>
      </c>
      <c r="G4089" s="8">
        <v>65.099999999999994</v>
      </c>
      <c r="H4089" s="6"/>
    </row>
    <row r="4090" spans="1:8">
      <c r="A4090" s="5">
        <v>3926</v>
      </c>
      <c r="B4090" s="6" t="str">
        <f>"邓清"</f>
        <v>邓清</v>
      </c>
      <c r="C4090" s="6" t="str">
        <f t="shared" si="190"/>
        <v>女</v>
      </c>
      <c r="D4090" s="6" t="str">
        <f>"202140042009"</f>
        <v>202140042009</v>
      </c>
      <c r="E4090" s="10" t="s">
        <v>28</v>
      </c>
      <c r="F4090" s="6" t="s">
        <v>28</v>
      </c>
      <c r="G4090" s="8">
        <v>0</v>
      </c>
      <c r="H4090" s="9">
        <v>1</v>
      </c>
    </row>
    <row r="4091" spans="1:8">
      <c r="A4091" s="5">
        <v>4096</v>
      </c>
      <c r="B4091" s="6" t="str">
        <f>"段晴"</f>
        <v>段晴</v>
      </c>
      <c r="C4091" s="6" t="str">
        <f t="shared" si="190"/>
        <v>女</v>
      </c>
      <c r="D4091" s="6" t="str">
        <f>"202140042010"</f>
        <v>202140042010</v>
      </c>
      <c r="E4091" s="10" t="s">
        <v>28</v>
      </c>
      <c r="F4091" s="6" t="s">
        <v>28</v>
      </c>
      <c r="G4091" s="8">
        <v>58.75</v>
      </c>
      <c r="H4091" s="6"/>
    </row>
    <row r="4092" spans="1:8">
      <c r="A4092" s="5">
        <v>4072</v>
      </c>
      <c r="B4092" s="6" t="str">
        <f>"张金艳"</f>
        <v>张金艳</v>
      </c>
      <c r="C4092" s="6" t="str">
        <f t="shared" si="190"/>
        <v>女</v>
      </c>
      <c r="D4092" s="6" t="str">
        <f>"202140042011"</f>
        <v>202140042011</v>
      </c>
      <c r="E4092" s="10" t="s">
        <v>28</v>
      </c>
      <c r="F4092" s="6" t="s">
        <v>28</v>
      </c>
      <c r="G4092" s="8">
        <v>38.35</v>
      </c>
      <c r="H4092" s="6"/>
    </row>
    <row r="4093" spans="1:8">
      <c r="A4093" s="5">
        <v>4122</v>
      </c>
      <c r="B4093" s="6" t="str">
        <f>"梁丽艳"</f>
        <v>梁丽艳</v>
      </c>
      <c r="C4093" s="6" t="str">
        <f t="shared" si="190"/>
        <v>女</v>
      </c>
      <c r="D4093" s="6" t="str">
        <f>"202140042012"</f>
        <v>202140042012</v>
      </c>
      <c r="E4093" s="10" t="s">
        <v>28</v>
      </c>
      <c r="F4093" s="6" t="s">
        <v>28</v>
      </c>
      <c r="G4093" s="8">
        <v>54.35</v>
      </c>
      <c r="H4093" s="6"/>
    </row>
    <row r="4094" spans="1:8">
      <c r="A4094" s="5">
        <v>3987</v>
      </c>
      <c r="B4094" s="6" t="str">
        <f>"陈龙书"</f>
        <v>陈龙书</v>
      </c>
      <c r="C4094" s="6" t="str">
        <f t="shared" si="190"/>
        <v>女</v>
      </c>
      <c r="D4094" s="6" t="str">
        <f>"202140042013"</f>
        <v>202140042013</v>
      </c>
      <c r="E4094" s="10" t="s">
        <v>28</v>
      </c>
      <c r="F4094" s="6" t="s">
        <v>28</v>
      </c>
      <c r="G4094" s="8">
        <v>68.599999999999994</v>
      </c>
      <c r="H4094" s="6"/>
    </row>
    <row r="4095" spans="1:8">
      <c r="A4095" s="5">
        <v>4082</v>
      </c>
      <c r="B4095" s="6" t="str">
        <f>"徐乐"</f>
        <v>徐乐</v>
      </c>
      <c r="C4095" s="6" t="str">
        <f t="shared" si="190"/>
        <v>女</v>
      </c>
      <c r="D4095" s="6" t="str">
        <f>"202140042014"</f>
        <v>202140042014</v>
      </c>
      <c r="E4095" s="10" t="s">
        <v>28</v>
      </c>
      <c r="F4095" s="6" t="s">
        <v>28</v>
      </c>
      <c r="G4095" s="8">
        <v>48.15</v>
      </c>
      <c r="H4095" s="6"/>
    </row>
    <row r="4096" spans="1:8">
      <c r="A4096" s="5">
        <v>4036</v>
      </c>
      <c r="B4096" s="6" t="str">
        <f>"方红"</f>
        <v>方红</v>
      </c>
      <c r="C4096" s="6" t="str">
        <f t="shared" si="190"/>
        <v>女</v>
      </c>
      <c r="D4096" s="6" t="str">
        <f>"202140042015"</f>
        <v>202140042015</v>
      </c>
      <c r="E4096" s="10" t="s">
        <v>28</v>
      </c>
      <c r="F4096" s="6" t="s">
        <v>28</v>
      </c>
      <c r="G4096" s="8">
        <v>64.599999999999994</v>
      </c>
      <c r="H4096" s="6"/>
    </row>
    <row r="4097" spans="1:8">
      <c r="A4097" s="5">
        <v>3965</v>
      </c>
      <c r="B4097" s="6" t="str">
        <f>"廖丝丝"</f>
        <v>廖丝丝</v>
      </c>
      <c r="C4097" s="6" t="str">
        <f t="shared" si="190"/>
        <v>女</v>
      </c>
      <c r="D4097" s="6" t="str">
        <f>"202140042016"</f>
        <v>202140042016</v>
      </c>
      <c r="E4097" s="10" t="s">
        <v>28</v>
      </c>
      <c r="F4097" s="6" t="s">
        <v>28</v>
      </c>
      <c r="G4097" s="8">
        <v>57.05</v>
      </c>
      <c r="H4097" s="6"/>
    </row>
    <row r="4098" spans="1:8">
      <c r="A4098" s="5">
        <v>4197</v>
      </c>
      <c r="B4098" s="6" t="str">
        <f>"刘玉香"</f>
        <v>刘玉香</v>
      </c>
      <c r="C4098" s="6" t="str">
        <f t="shared" si="190"/>
        <v>女</v>
      </c>
      <c r="D4098" s="6" t="str">
        <f>"202140042017"</f>
        <v>202140042017</v>
      </c>
      <c r="E4098" s="10" t="s">
        <v>28</v>
      </c>
      <c r="F4098" s="6" t="s">
        <v>28</v>
      </c>
      <c r="G4098" s="8">
        <v>60.1</v>
      </c>
      <c r="H4098" s="6"/>
    </row>
    <row r="4099" spans="1:8">
      <c r="A4099" s="5">
        <v>3928</v>
      </c>
      <c r="B4099" s="6" t="str">
        <f>"王峻洁"</f>
        <v>王峻洁</v>
      </c>
      <c r="C4099" s="6" t="str">
        <f t="shared" si="190"/>
        <v>女</v>
      </c>
      <c r="D4099" s="6" t="str">
        <f>"202140042018"</f>
        <v>202140042018</v>
      </c>
      <c r="E4099" s="10" t="s">
        <v>28</v>
      </c>
      <c r="F4099" s="6" t="s">
        <v>28</v>
      </c>
      <c r="G4099" s="8">
        <v>63.35</v>
      </c>
      <c r="H4099" s="6"/>
    </row>
    <row r="4100" spans="1:8">
      <c r="A4100" s="5">
        <v>4168</v>
      </c>
      <c r="B4100" s="6" t="str">
        <f>"姚秀琼"</f>
        <v>姚秀琼</v>
      </c>
      <c r="C4100" s="6" t="str">
        <f t="shared" si="190"/>
        <v>女</v>
      </c>
      <c r="D4100" s="6" t="str">
        <f>"202140042019"</f>
        <v>202140042019</v>
      </c>
      <c r="E4100" s="10" t="s">
        <v>28</v>
      </c>
      <c r="F4100" s="6" t="s">
        <v>28</v>
      </c>
      <c r="G4100" s="8">
        <v>61.9</v>
      </c>
      <c r="H4100" s="6"/>
    </row>
    <row r="4101" spans="1:8">
      <c r="A4101" s="5">
        <v>3982</v>
      </c>
      <c r="B4101" s="6" t="str">
        <f>"罗霞"</f>
        <v>罗霞</v>
      </c>
      <c r="C4101" s="6" t="str">
        <f t="shared" si="190"/>
        <v>女</v>
      </c>
      <c r="D4101" s="6" t="str">
        <f>"202140042020"</f>
        <v>202140042020</v>
      </c>
      <c r="E4101" s="10" t="s">
        <v>28</v>
      </c>
      <c r="F4101" s="6" t="s">
        <v>28</v>
      </c>
      <c r="G4101" s="8">
        <v>72.900000000000006</v>
      </c>
      <c r="H4101" s="6"/>
    </row>
    <row r="4102" spans="1:8">
      <c r="A4102" s="5">
        <v>4040</v>
      </c>
      <c r="B4102" s="6" t="str">
        <f>"姚丹"</f>
        <v>姚丹</v>
      </c>
      <c r="C4102" s="6" t="str">
        <f t="shared" si="190"/>
        <v>女</v>
      </c>
      <c r="D4102" s="6" t="str">
        <f>"202140042021"</f>
        <v>202140042021</v>
      </c>
      <c r="E4102" s="10" t="s">
        <v>28</v>
      </c>
      <c r="F4102" s="6" t="s">
        <v>28</v>
      </c>
      <c r="G4102" s="8">
        <v>69.349999999999994</v>
      </c>
      <c r="H4102" s="6"/>
    </row>
    <row r="4103" spans="1:8">
      <c r="A4103" s="5">
        <v>3967</v>
      </c>
      <c r="B4103" s="6" t="str">
        <f>"张澎"</f>
        <v>张澎</v>
      </c>
      <c r="C4103" s="6" t="str">
        <f t="shared" si="190"/>
        <v>女</v>
      </c>
      <c r="D4103" s="6" t="str">
        <f>"202140042022"</f>
        <v>202140042022</v>
      </c>
      <c r="E4103" s="10" t="s">
        <v>28</v>
      </c>
      <c r="F4103" s="6" t="s">
        <v>28</v>
      </c>
      <c r="G4103" s="8">
        <v>57.1</v>
      </c>
      <c r="H4103" s="6"/>
    </row>
    <row r="4104" spans="1:8">
      <c r="A4104" s="5">
        <v>3981</v>
      </c>
      <c r="B4104" s="6" t="str">
        <f>"谢行知"</f>
        <v>谢行知</v>
      </c>
      <c r="C4104" s="6" t="str">
        <f t="shared" ref="C4104:C4140" si="191">"女"</f>
        <v>女</v>
      </c>
      <c r="D4104" s="6" t="str">
        <f>"202140042023"</f>
        <v>202140042023</v>
      </c>
      <c r="E4104" s="10" t="s">
        <v>28</v>
      </c>
      <c r="F4104" s="6" t="s">
        <v>28</v>
      </c>
      <c r="G4104" s="8">
        <v>43.8</v>
      </c>
      <c r="H4104" s="6"/>
    </row>
    <row r="4105" spans="1:8">
      <c r="A4105" s="5">
        <v>4044</v>
      </c>
      <c r="B4105" s="6" t="str">
        <f>"郭敏"</f>
        <v>郭敏</v>
      </c>
      <c r="C4105" s="6" t="str">
        <f t="shared" si="191"/>
        <v>女</v>
      </c>
      <c r="D4105" s="6" t="str">
        <f>"202140042024"</f>
        <v>202140042024</v>
      </c>
      <c r="E4105" s="10" t="s">
        <v>28</v>
      </c>
      <c r="F4105" s="6" t="s">
        <v>28</v>
      </c>
      <c r="G4105" s="8">
        <v>45.4</v>
      </c>
      <c r="H4105" s="6"/>
    </row>
    <row r="4106" spans="1:8">
      <c r="A4106" s="5">
        <v>3931</v>
      </c>
      <c r="B4106" s="6" t="str">
        <f>"李维"</f>
        <v>李维</v>
      </c>
      <c r="C4106" s="6" t="str">
        <f t="shared" si="191"/>
        <v>女</v>
      </c>
      <c r="D4106" s="6" t="str">
        <f>"202140042025"</f>
        <v>202140042025</v>
      </c>
      <c r="E4106" s="10" t="s">
        <v>28</v>
      </c>
      <c r="F4106" s="6" t="s">
        <v>28</v>
      </c>
      <c r="G4106" s="8">
        <v>37.6</v>
      </c>
      <c r="H4106" s="6"/>
    </row>
    <row r="4107" spans="1:8">
      <c r="A4107" s="5">
        <v>4198</v>
      </c>
      <c r="B4107" s="6" t="str">
        <f>"陈雅雯"</f>
        <v>陈雅雯</v>
      </c>
      <c r="C4107" s="6" t="str">
        <f t="shared" si="191"/>
        <v>女</v>
      </c>
      <c r="D4107" s="6" t="str">
        <f>"202140042026"</f>
        <v>202140042026</v>
      </c>
      <c r="E4107" s="10" t="s">
        <v>28</v>
      </c>
      <c r="F4107" s="6" t="s">
        <v>28</v>
      </c>
      <c r="G4107" s="8">
        <v>56.3</v>
      </c>
      <c r="H4107" s="6"/>
    </row>
    <row r="4108" spans="1:8">
      <c r="A4108" s="5">
        <v>4088</v>
      </c>
      <c r="B4108" s="6" t="str">
        <f>"张素珍"</f>
        <v>张素珍</v>
      </c>
      <c r="C4108" s="6" t="str">
        <f t="shared" si="191"/>
        <v>女</v>
      </c>
      <c r="D4108" s="6" t="str">
        <f>"202140042027"</f>
        <v>202140042027</v>
      </c>
      <c r="E4108" s="10" t="s">
        <v>28</v>
      </c>
      <c r="F4108" s="6" t="s">
        <v>28</v>
      </c>
      <c r="G4108" s="8">
        <v>60.85</v>
      </c>
      <c r="H4108" s="6"/>
    </row>
    <row r="4109" spans="1:8">
      <c r="A4109" s="5">
        <v>4094</v>
      </c>
      <c r="B4109" s="6" t="str">
        <f>"雷婷"</f>
        <v>雷婷</v>
      </c>
      <c r="C4109" s="6" t="str">
        <f t="shared" si="191"/>
        <v>女</v>
      </c>
      <c r="D4109" s="6" t="str">
        <f>"202140042028"</f>
        <v>202140042028</v>
      </c>
      <c r="E4109" s="10" t="s">
        <v>28</v>
      </c>
      <c r="F4109" s="6" t="s">
        <v>28</v>
      </c>
      <c r="G4109" s="8">
        <v>62.2</v>
      </c>
      <c r="H4109" s="6"/>
    </row>
    <row r="4110" spans="1:8">
      <c r="A4110" s="5">
        <v>4130</v>
      </c>
      <c r="B4110" s="6" t="str">
        <f>"王昕"</f>
        <v>王昕</v>
      </c>
      <c r="C4110" s="6" t="str">
        <f t="shared" si="191"/>
        <v>女</v>
      </c>
      <c r="D4110" s="6" t="str">
        <f>"202140042029"</f>
        <v>202140042029</v>
      </c>
      <c r="E4110" s="10" t="s">
        <v>28</v>
      </c>
      <c r="F4110" s="6" t="s">
        <v>28</v>
      </c>
      <c r="G4110" s="8">
        <v>57.4</v>
      </c>
      <c r="H4110" s="6"/>
    </row>
    <row r="4111" spans="1:8">
      <c r="A4111" s="5">
        <v>4158</v>
      </c>
      <c r="B4111" s="6" t="str">
        <f>"蒋丹"</f>
        <v>蒋丹</v>
      </c>
      <c r="C4111" s="6" t="str">
        <f t="shared" si="191"/>
        <v>女</v>
      </c>
      <c r="D4111" s="6" t="str">
        <f>"202140042030"</f>
        <v>202140042030</v>
      </c>
      <c r="E4111" s="10" t="s">
        <v>28</v>
      </c>
      <c r="F4111" s="6" t="s">
        <v>28</v>
      </c>
      <c r="G4111" s="8">
        <v>56</v>
      </c>
      <c r="H4111" s="6"/>
    </row>
    <row r="4112" spans="1:8">
      <c r="A4112" s="5">
        <v>4062</v>
      </c>
      <c r="B4112" s="6" t="str">
        <f>"谭钱梅"</f>
        <v>谭钱梅</v>
      </c>
      <c r="C4112" s="6" t="str">
        <f t="shared" si="191"/>
        <v>女</v>
      </c>
      <c r="D4112" s="6" t="str">
        <f>"202140042101"</f>
        <v>202140042101</v>
      </c>
      <c r="E4112" s="10" t="s">
        <v>28</v>
      </c>
      <c r="F4112" s="6" t="s">
        <v>28</v>
      </c>
      <c r="G4112" s="8">
        <v>51.2</v>
      </c>
      <c r="H4112" s="6"/>
    </row>
    <row r="4113" spans="1:8">
      <c r="A4113" s="5">
        <v>3961</v>
      </c>
      <c r="B4113" s="6" t="str">
        <f>"龙丹丹"</f>
        <v>龙丹丹</v>
      </c>
      <c r="C4113" s="6" t="str">
        <f t="shared" si="191"/>
        <v>女</v>
      </c>
      <c r="D4113" s="6" t="str">
        <f>"202140042102"</f>
        <v>202140042102</v>
      </c>
      <c r="E4113" s="10" t="s">
        <v>28</v>
      </c>
      <c r="F4113" s="6" t="s">
        <v>28</v>
      </c>
      <c r="G4113" s="8">
        <v>49.3</v>
      </c>
      <c r="H4113" s="6"/>
    </row>
    <row r="4114" spans="1:8">
      <c r="A4114" s="5">
        <v>4178</v>
      </c>
      <c r="B4114" s="6" t="str">
        <f>"曾建莉"</f>
        <v>曾建莉</v>
      </c>
      <c r="C4114" s="6" t="str">
        <f t="shared" si="191"/>
        <v>女</v>
      </c>
      <c r="D4114" s="6" t="str">
        <f>"202140042103"</f>
        <v>202140042103</v>
      </c>
      <c r="E4114" s="10" t="s">
        <v>28</v>
      </c>
      <c r="F4114" s="6" t="s">
        <v>28</v>
      </c>
      <c r="G4114" s="8">
        <v>69.650000000000006</v>
      </c>
      <c r="H4114" s="6"/>
    </row>
    <row r="4115" spans="1:8">
      <c r="A4115" s="5">
        <v>4049</v>
      </c>
      <c r="B4115" s="6" t="str">
        <f>"肖思涵"</f>
        <v>肖思涵</v>
      </c>
      <c r="C4115" s="6" t="str">
        <f t="shared" si="191"/>
        <v>女</v>
      </c>
      <c r="D4115" s="6" t="str">
        <f>"202140042104"</f>
        <v>202140042104</v>
      </c>
      <c r="E4115" s="10" t="s">
        <v>28</v>
      </c>
      <c r="F4115" s="6" t="s">
        <v>28</v>
      </c>
      <c r="G4115" s="8">
        <v>45.95</v>
      </c>
      <c r="H4115" s="6"/>
    </row>
    <row r="4116" spans="1:8">
      <c r="A4116" s="5">
        <v>4153</v>
      </c>
      <c r="B4116" s="6" t="str">
        <f>"李苗"</f>
        <v>李苗</v>
      </c>
      <c r="C4116" s="6" t="str">
        <f t="shared" si="191"/>
        <v>女</v>
      </c>
      <c r="D4116" s="6" t="str">
        <f>"202140042105"</f>
        <v>202140042105</v>
      </c>
      <c r="E4116" s="10" t="s">
        <v>28</v>
      </c>
      <c r="F4116" s="6" t="s">
        <v>28</v>
      </c>
      <c r="G4116" s="8">
        <v>52.5</v>
      </c>
      <c r="H4116" s="6"/>
    </row>
    <row r="4117" spans="1:8">
      <c r="A4117" s="5">
        <v>4064</v>
      </c>
      <c r="B4117" s="6" t="str">
        <f>"龙梦琦"</f>
        <v>龙梦琦</v>
      </c>
      <c r="C4117" s="6" t="str">
        <f t="shared" si="191"/>
        <v>女</v>
      </c>
      <c r="D4117" s="6" t="str">
        <f>"202140042106"</f>
        <v>202140042106</v>
      </c>
      <c r="E4117" s="10" t="s">
        <v>28</v>
      </c>
      <c r="F4117" s="6" t="s">
        <v>28</v>
      </c>
      <c r="G4117" s="8">
        <v>66.849999999999994</v>
      </c>
      <c r="H4117" s="6"/>
    </row>
    <row r="4118" spans="1:8">
      <c r="A4118" s="5">
        <v>4010</v>
      </c>
      <c r="B4118" s="6" t="str">
        <f>"粟梦思"</f>
        <v>粟梦思</v>
      </c>
      <c r="C4118" s="6" t="str">
        <f t="shared" si="191"/>
        <v>女</v>
      </c>
      <c r="D4118" s="6" t="str">
        <f>"202140042107"</f>
        <v>202140042107</v>
      </c>
      <c r="E4118" s="10" t="s">
        <v>28</v>
      </c>
      <c r="F4118" s="6" t="s">
        <v>28</v>
      </c>
      <c r="G4118" s="8">
        <v>62.65</v>
      </c>
      <c r="H4118" s="6"/>
    </row>
    <row r="4119" spans="1:8">
      <c r="A4119" s="5">
        <v>4089</v>
      </c>
      <c r="B4119" s="6" t="str">
        <f>"伍春仪"</f>
        <v>伍春仪</v>
      </c>
      <c r="C4119" s="6" t="str">
        <f t="shared" si="191"/>
        <v>女</v>
      </c>
      <c r="D4119" s="6" t="str">
        <f>"202140042108"</f>
        <v>202140042108</v>
      </c>
      <c r="E4119" s="10" t="s">
        <v>28</v>
      </c>
      <c r="F4119" s="6" t="s">
        <v>28</v>
      </c>
      <c r="G4119" s="8">
        <v>0</v>
      </c>
      <c r="H4119" s="9">
        <v>1</v>
      </c>
    </row>
    <row r="4120" spans="1:8">
      <c r="A4120" s="5">
        <v>3910</v>
      </c>
      <c r="B4120" s="6" t="str">
        <f>"何利"</f>
        <v>何利</v>
      </c>
      <c r="C4120" s="6" t="str">
        <f t="shared" si="191"/>
        <v>女</v>
      </c>
      <c r="D4120" s="6" t="str">
        <f>"202140042109"</f>
        <v>202140042109</v>
      </c>
      <c r="E4120" s="10" t="s">
        <v>28</v>
      </c>
      <c r="F4120" s="6" t="s">
        <v>28</v>
      </c>
      <c r="G4120" s="8">
        <v>0</v>
      </c>
      <c r="H4120" s="9">
        <v>1</v>
      </c>
    </row>
    <row r="4121" spans="1:8">
      <c r="A4121" s="5">
        <v>4107</v>
      </c>
      <c r="B4121" s="6" t="str">
        <f>"谢颖"</f>
        <v>谢颖</v>
      </c>
      <c r="C4121" s="6" t="str">
        <f t="shared" si="191"/>
        <v>女</v>
      </c>
      <c r="D4121" s="6" t="str">
        <f>"202140042110"</f>
        <v>202140042110</v>
      </c>
      <c r="E4121" s="10" t="s">
        <v>28</v>
      </c>
      <c r="F4121" s="6" t="s">
        <v>28</v>
      </c>
      <c r="G4121" s="8">
        <v>44.6</v>
      </c>
      <c r="H4121" s="6"/>
    </row>
    <row r="4122" spans="1:8">
      <c r="A4122" s="5">
        <v>4179</v>
      </c>
      <c r="B4122" s="6" t="str">
        <f>"李丫丫"</f>
        <v>李丫丫</v>
      </c>
      <c r="C4122" s="6" t="str">
        <f t="shared" si="191"/>
        <v>女</v>
      </c>
      <c r="D4122" s="6" t="str">
        <f>"202140042111"</f>
        <v>202140042111</v>
      </c>
      <c r="E4122" s="10" t="s">
        <v>28</v>
      </c>
      <c r="F4122" s="6" t="s">
        <v>28</v>
      </c>
      <c r="G4122" s="8">
        <v>53.65</v>
      </c>
      <c r="H4122" s="6"/>
    </row>
    <row r="4123" spans="1:8">
      <c r="A4123" s="5">
        <v>3911</v>
      </c>
      <c r="B4123" s="6" t="str">
        <f>"陈辉"</f>
        <v>陈辉</v>
      </c>
      <c r="C4123" s="6" t="str">
        <f t="shared" si="191"/>
        <v>女</v>
      </c>
      <c r="D4123" s="6" t="str">
        <f>"202140042112"</f>
        <v>202140042112</v>
      </c>
      <c r="E4123" s="10" t="s">
        <v>28</v>
      </c>
      <c r="F4123" s="6" t="s">
        <v>28</v>
      </c>
      <c r="G4123" s="8">
        <v>0</v>
      </c>
      <c r="H4123" s="9">
        <v>1</v>
      </c>
    </row>
    <row r="4124" spans="1:8">
      <c r="A4124" s="5">
        <v>4171</v>
      </c>
      <c r="B4124" s="6" t="str">
        <f>"曾琳虹"</f>
        <v>曾琳虹</v>
      </c>
      <c r="C4124" s="6" t="str">
        <f t="shared" si="191"/>
        <v>女</v>
      </c>
      <c r="D4124" s="6" t="str">
        <f>"202140042113"</f>
        <v>202140042113</v>
      </c>
      <c r="E4124" s="10" t="s">
        <v>28</v>
      </c>
      <c r="F4124" s="6" t="s">
        <v>28</v>
      </c>
      <c r="G4124" s="8">
        <v>62.35</v>
      </c>
      <c r="H4124" s="6"/>
    </row>
    <row r="4125" spans="1:8">
      <c r="A4125" s="5">
        <v>3933</v>
      </c>
      <c r="B4125" s="6" t="str">
        <f>"刘倩"</f>
        <v>刘倩</v>
      </c>
      <c r="C4125" s="6" t="str">
        <f t="shared" si="191"/>
        <v>女</v>
      </c>
      <c r="D4125" s="6" t="str">
        <f>"202140042114"</f>
        <v>202140042114</v>
      </c>
      <c r="E4125" s="10" t="s">
        <v>28</v>
      </c>
      <c r="F4125" s="6" t="s">
        <v>28</v>
      </c>
      <c r="G4125" s="8">
        <v>57.95</v>
      </c>
      <c r="H4125" s="6"/>
    </row>
    <row r="4126" spans="1:8">
      <c r="A4126" s="5">
        <v>4083</v>
      </c>
      <c r="B4126" s="6" t="str">
        <f>"谭丽婷"</f>
        <v>谭丽婷</v>
      </c>
      <c r="C4126" s="6" t="str">
        <f t="shared" si="191"/>
        <v>女</v>
      </c>
      <c r="D4126" s="6" t="str">
        <f>"202140042115"</f>
        <v>202140042115</v>
      </c>
      <c r="E4126" s="10" t="s">
        <v>28</v>
      </c>
      <c r="F4126" s="6" t="s">
        <v>28</v>
      </c>
      <c r="G4126" s="8">
        <v>61.95</v>
      </c>
      <c r="H4126" s="6"/>
    </row>
    <row r="4127" spans="1:8">
      <c r="A4127" s="5">
        <v>4043</v>
      </c>
      <c r="B4127" s="6" t="str">
        <f>"蒋雨鸽"</f>
        <v>蒋雨鸽</v>
      </c>
      <c r="C4127" s="6" t="str">
        <f t="shared" si="191"/>
        <v>女</v>
      </c>
      <c r="D4127" s="6" t="str">
        <f>"202140042116"</f>
        <v>202140042116</v>
      </c>
      <c r="E4127" s="10" t="s">
        <v>28</v>
      </c>
      <c r="F4127" s="6" t="s">
        <v>28</v>
      </c>
      <c r="G4127" s="8">
        <v>63.4</v>
      </c>
      <c r="H4127" s="6"/>
    </row>
    <row r="4128" spans="1:8">
      <c r="A4128" s="5">
        <v>4076</v>
      </c>
      <c r="B4128" s="6" t="str">
        <f>"阳英"</f>
        <v>阳英</v>
      </c>
      <c r="C4128" s="6" t="str">
        <f t="shared" si="191"/>
        <v>女</v>
      </c>
      <c r="D4128" s="6" t="str">
        <f>"202140042117"</f>
        <v>202140042117</v>
      </c>
      <c r="E4128" s="10" t="s">
        <v>28</v>
      </c>
      <c r="F4128" s="6" t="s">
        <v>28</v>
      </c>
      <c r="G4128" s="8">
        <v>49.55</v>
      </c>
      <c r="H4128" s="6"/>
    </row>
    <row r="4129" spans="1:8">
      <c r="A4129" s="5">
        <v>3966</v>
      </c>
      <c r="B4129" s="6" t="str">
        <f>"李倩倩"</f>
        <v>李倩倩</v>
      </c>
      <c r="C4129" s="6" t="str">
        <f t="shared" si="191"/>
        <v>女</v>
      </c>
      <c r="D4129" s="6" t="str">
        <f>"202140042118"</f>
        <v>202140042118</v>
      </c>
      <c r="E4129" s="10" t="s">
        <v>28</v>
      </c>
      <c r="F4129" s="6" t="s">
        <v>28</v>
      </c>
      <c r="G4129" s="8">
        <v>48.3</v>
      </c>
      <c r="H4129" s="6"/>
    </row>
    <row r="4130" spans="1:8">
      <c r="A4130" s="5">
        <v>3977</v>
      </c>
      <c r="B4130" s="6" t="str">
        <f>"张雪飞"</f>
        <v>张雪飞</v>
      </c>
      <c r="C4130" s="6" t="str">
        <f t="shared" si="191"/>
        <v>女</v>
      </c>
      <c r="D4130" s="6" t="str">
        <f>"202140042119"</f>
        <v>202140042119</v>
      </c>
      <c r="E4130" s="10" t="s">
        <v>28</v>
      </c>
      <c r="F4130" s="6" t="s">
        <v>28</v>
      </c>
      <c r="G4130" s="8">
        <v>44.15</v>
      </c>
      <c r="H4130" s="6"/>
    </row>
    <row r="4131" spans="1:8">
      <c r="A4131" s="5">
        <v>4149</v>
      </c>
      <c r="B4131" s="6" t="str">
        <f>"夏叶丽"</f>
        <v>夏叶丽</v>
      </c>
      <c r="C4131" s="6" t="str">
        <f t="shared" si="191"/>
        <v>女</v>
      </c>
      <c r="D4131" s="6" t="str">
        <f>"202140042120"</f>
        <v>202140042120</v>
      </c>
      <c r="E4131" s="10" t="s">
        <v>28</v>
      </c>
      <c r="F4131" s="6" t="s">
        <v>28</v>
      </c>
      <c r="G4131" s="8">
        <v>61.3</v>
      </c>
      <c r="H4131" s="6"/>
    </row>
    <row r="4132" spans="1:8">
      <c r="A4132" s="5">
        <v>3986</v>
      </c>
      <c r="B4132" s="6" t="str">
        <f>"李彬娜"</f>
        <v>李彬娜</v>
      </c>
      <c r="C4132" s="6" t="str">
        <f t="shared" si="191"/>
        <v>女</v>
      </c>
      <c r="D4132" s="6" t="str">
        <f>"202140042121"</f>
        <v>202140042121</v>
      </c>
      <c r="E4132" s="10" t="s">
        <v>28</v>
      </c>
      <c r="F4132" s="6" t="s">
        <v>28</v>
      </c>
      <c r="G4132" s="8">
        <v>47.75</v>
      </c>
      <c r="H4132" s="6"/>
    </row>
    <row r="4133" spans="1:8">
      <c r="A4133" s="5">
        <v>4077</v>
      </c>
      <c r="B4133" s="6" t="str">
        <f>"胡丽"</f>
        <v>胡丽</v>
      </c>
      <c r="C4133" s="6" t="str">
        <f t="shared" si="191"/>
        <v>女</v>
      </c>
      <c r="D4133" s="6" t="str">
        <f>"202140042122"</f>
        <v>202140042122</v>
      </c>
      <c r="E4133" s="10" t="s">
        <v>28</v>
      </c>
      <c r="F4133" s="6" t="s">
        <v>28</v>
      </c>
      <c r="G4133" s="8">
        <v>55.5</v>
      </c>
      <c r="H4133" s="6"/>
    </row>
    <row r="4134" spans="1:8">
      <c r="A4134" s="5">
        <v>4052</v>
      </c>
      <c r="B4134" s="6" t="str">
        <f>"马睿汝"</f>
        <v>马睿汝</v>
      </c>
      <c r="C4134" s="6" t="str">
        <f t="shared" si="191"/>
        <v>女</v>
      </c>
      <c r="D4134" s="6" t="str">
        <f>"202140042123"</f>
        <v>202140042123</v>
      </c>
      <c r="E4134" s="10" t="s">
        <v>28</v>
      </c>
      <c r="F4134" s="6" t="s">
        <v>28</v>
      </c>
      <c r="G4134" s="8">
        <v>63</v>
      </c>
      <c r="H4134" s="6"/>
    </row>
    <row r="4135" spans="1:8">
      <c r="A4135" s="5">
        <v>4057</v>
      </c>
      <c r="B4135" s="6" t="str">
        <f>"肖飞香"</f>
        <v>肖飞香</v>
      </c>
      <c r="C4135" s="6" t="str">
        <f t="shared" si="191"/>
        <v>女</v>
      </c>
      <c r="D4135" s="6" t="str">
        <f>"202140042124"</f>
        <v>202140042124</v>
      </c>
      <c r="E4135" s="10" t="s">
        <v>28</v>
      </c>
      <c r="F4135" s="6" t="s">
        <v>28</v>
      </c>
      <c r="G4135" s="8">
        <v>52.2</v>
      </c>
      <c r="H4135" s="6"/>
    </row>
    <row r="4136" spans="1:8">
      <c r="A4136" s="5">
        <v>3978</v>
      </c>
      <c r="B4136" s="6" t="str">
        <f>"陈东东"</f>
        <v>陈东东</v>
      </c>
      <c r="C4136" s="6" t="str">
        <f t="shared" si="191"/>
        <v>女</v>
      </c>
      <c r="D4136" s="6" t="str">
        <f>"202140042125"</f>
        <v>202140042125</v>
      </c>
      <c r="E4136" s="10" t="s">
        <v>28</v>
      </c>
      <c r="F4136" s="6" t="s">
        <v>28</v>
      </c>
      <c r="G4136" s="8">
        <v>54.95</v>
      </c>
      <c r="H4136" s="6"/>
    </row>
    <row r="4137" spans="1:8">
      <c r="A4137" s="5">
        <v>4173</v>
      </c>
      <c r="B4137" s="6" t="str">
        <f>"王菲菲"</f>
        <v>王菲菲</v>
      </c>
      <c r="C4137" s="6" t="str">
        <f t="shared" si="191"/>
        <v>女</v>
      </c>
      <c r="D4137" s="6" t="str">
        <f>"202140042126"</f>
        <v>202140042126</v>
      </c>
      <c r="E4137" s="10" t="s">
        <v>28</v>
      </c>
      <c r="F4137" s="6" t="s">
        <v>28</v>
      </c>
      <c r="G4137" s="8">
        <v>65.2</v>
      </c>
      <c r="H4137" s="6"/>
    </row>
    <row r="4138" spans="1:8">
      <c r="A4138" s="5">
        <v>4063</v>
      </c>
      <c r="B4138" s="6" t="str">
        <f>"蒋香英"</f>
        <v>蒋香英</v>
      </c>
      <c r="C4138" s="6" t="str">
        <f t="shared" si="191"/>
        <v>女</v>
      </c>
      <c r="D4138" s="6" t="str">
        <f>"202140042127"</f>
        <v>202140042127</v>
      </c>
      <c r="E4138" s="10" t="s">
        <v>28</v>
      </c>
      <c r="F4138" s="6" t="s">
        <v>28</v>
      </c>
      <c r="G4138" s="8">
        <v>63.05</v>
      </c>
      <c r="H4138" s="6"/>
    </row>
    <row r="4139" spans="1:8">
      <c r="A4139" s="5">
        <v>3919</v>
      </c>
      <c r="B4139" s="6" t="str">
        <f>"唐祯"</f>
        <v>唐祯</v>
      </c>
      <c r="C4139" s="6" t="str">
        <f t="shared" si="191"/>
        <v>女</v>
      </c>
      <c r="D4139" s="6" t="str">
        <f>"202140042128"</f>
        <v>202140042128</v>
      </c>
      <c r="E4139" s="10" t="s">
        <v>28</v>
      </c>
      <c r="F4139" s="6" t="s">
        <v>28</v>
      </c>
      <c r="G4139" s="8">
        <v>52.85</v>
      </c>
      <c r="H4139" s="6"/>
    </row>
    <row r="4140" spans="1:8">
      <c r="A4140" s="5">
        <v>4111</v>
      </c>
      <c r="B4140" s="6" t="str">
        <f>"李艳丽"</f>
        <v>李艳丽</v>
      </c>
      <c r="C4140" s="6" t="str">
        <f t="shared" si="191"/>
        <v>女</v>
      </c>
      <c r="D4140" s="6" t="str">
        <f>"202140042129"</f>
        <v>202140042129</v>
      </c>
      <c r="E4140" s="10" t="s">
        <v>28</v>
      </c>
      <c r="F4140" s="6" t="s">
        <v>28</v>
      </c>
      <c r="G4140" s="8">
        <v>50.75</v>
      </c>
      <c r="H4140" s="6"/>
    </row>
    <row r="4141" spans="1:8">
      <c r="A4141" s="5">
        <v>4172</v>
      </c>
      <c r="B4141" s="6" t="str">
        <f>"许富金"</f>
        <v>许富金</v>
      </c>
      <c r="C4141" s="6" t="str">
        <f>"男"</f>
        <v>男</v>
      </c>
      <c r="D4141" s="6" t="str">
        <f>"202140042130"</f>
        <v>202140042130</v>
      </c>
      <c r="E4141" s="10" t="s">
        <v>28</v>
      </c>
      <c r="F4141" s="6" t="s">
        <v>28</v>
      </c>
      <c r="G4141" s="8">
        <v>54.8</v>
      </c>
      <c r="H4141" s="6"/>
    </row>
    <row r="4142" spans="1:8">
      <c r="A4142" s="5">
        <v>4136</v>
      </c>
      <c r="B4142" s="6" t="str">
        <f>"潘碧玲"</f>
        <v>潘碧玲</v>
      </c>
      <c r="C4142" s="6" t="str">
        <f t="shared" ref="C4142:C4176" si="192">"女"</f>
        <v>女</v>
      </c>
      <c r="D4142" s="6" t="str">
        <f>"202140042201"</f>
        <v>202140042201</v>
      </c>
      <c r="E4142" s="10" t="s">
        <v>28</v>
      </c>
      <c r="F4142" s="6" t="s">
        <v>28</v>
      </c>
      <c r="G4142" s="8">
        <v>51.9</v>
      </c>
      <c r="H4142" s="6"/>
    </row>
    <row r="4143" spans="1:8">
      <c r="A4143" s="5">
        <v>3959</v>
      </c>
      <c r="B4143" s="6" t="str">
        <f>"程桃萍"</f>
        <v>程桃萍</v>
      </c>
      <c r="C4143" s="6" t="str">
        <f t="shared" si="192"/>
        <v>女</v>
      </c>
      <c r="D4143" s="6" t="str">
        <f>"202140042202"</f>
        <v>202140042202</v>
      </c>
      <c r="E4143" s="10" t="s">
        <v>28</v>
      </c>
      <c r="F4143" s="6" t="s">
        <v>28</v>
      </c>
      <c r="G4143" s="8">
        <v>69.400000000000006</v>
      </c>
      <c r="H4143" s="6"/>
    </row>
    <row r="4144" spans="1:8">
      <c r="A4144" s="5">
        <v>3929</v>
      </c>
      <c r="B4144" s="6" t="str">
        <f>"艾淑君"</f>
        <v>艾淑君</v>
      </c>
      <c r="C4144" s="6" t="str">
        <f t="shared" si="192"/>
        <v>女</v>
      </c>
      <c r="D4144" s="6" t="str">
        <f>"202140042203"</f>
        <v>202140042203</v>
      </c>
      <c r="E4144" s="10" t="s">
        <v>28</v>
      </c>
      <c r="F4144" s="6" t="s">
        <v>28</v>
      </c>
      <c r="G4144" s="8">
        <v>54.25</v>
      </c>
      <c r="H4144" s="6"/>
    </row>
    <row r="4145" spans="1:8">
      <c r="A4145" s="5">
        <v>3923</v>
      </c>
      <c r="B4145" s="6" t="str">
        <f>"肖丽"</f>
        <v>肖丽</v>
      </c>
      <c r="C4145" s="6" t="str">
        <f t="shared" si="192"/>
        <v>女</v>
      </c>
      <c r="D4145" s="6" t="str">
        <f>"202140042204"</f>
        <v>202140042204</v>
      </c>
      <c r="E4145" s="10" t="s">
        <v>28</v>
      </c>
      <c r="F4145" s="6" t="s">
        <v>28</v>
      </c>
      <c r="G4145" s="8">
        <v>0</v>
      </c>
      <c r="H4145" s="9">
        <v>1</v>
      </c>
    </row>
    <row r="4146" spans="1:8">
      <c r="A4146" s="5">
        <v>3970</v>
      </c>
      <c r="B4146" s="6" t="str">
        <f>"阳梦峰"</f>
        <v>阳梦峰</v>
      </c>
      <c r="C4146" s="6" t="str">
        <f t="shared" si="192"/>
        <v>女</v>
      </c>
      <c r="D4146" s="6" t="str">
        <f>"202140042205"</f>
        <v>202140042205</v>
      </c>
      <c r="E4146" s="10" t="s">
        <v>28</v>
      </c>
      <c r="F4146" s="6" t="s">
        <v>28</v>
      </c>
      <c r="G4146" s="8">
        <v>55.65</v>
      </c>
      <c r="H4146" s="6"/>
    </row>
    <row r="4147" spans="1:8">
      <c r="A4147" s="5">
        <v>4129</v>
      </c>
      <c r="B4147" s="6" t="str">
        <f>"胡哲"</f>
        <v>胡哲</v>
      </c>
      <c r="C4147" s="6" t="str">
        <f t="shared" si="192"/>
        <v>女</v>
      </c>
      <c r="D4147" s="6" t="str">
        <f>"202140042206"</f>
        <v>202140042206</v>
      </c>
      <c r="E4147" s="10" t="s">
        <v>28</v>
      </c>
      <c r="F4147" s="6" t="s">
        <v>28</v>
      </c>
      <c r="G4147" s="8">
        <v>62.95</v>
      </c>
      <c r="H4147" s="6"/>
    </row>
    <row r="4148" spans="1:8">
      <c r="A4148" s="5">
        <v>4132</v>
      </c>
      <c r="B4148" s="6" t="str">
        <f>"周婷"</f>
        <v>周婷</v>
      </c>
      <c r="C4148" s="6" t="str">
        <f t="shared" si="192"/>
        <v>女</v>
      </c>
      <c r="D4148" s="6" t="str">
        <f>"202140042207"</f>
        <v>202140042207</v>
      </c>
      <c r="E4148" s="10" t="s">
        <v>28</v>
      </c>
      <c r="F4148" s="6" t="s">
        <v>28</v>
      </c>
      <c r="G4148" s="8">
        <v>66.150000000000006</v>
      </c>
      <c r="H4148" s="6"/>
    </row>
    <row r="4149" spans="1:8">
      <c r="A4149" s="5">
        <v>3915</v>
      </c>
      <c r="B4149" s="6" t="str">
        <f>"刘婷"</f>
        <v>刘婷</v>
      </c>
      <c r="C4149" s="6" t="str">
        <f t="shared" si="192"/>
        <v>女</v>
      </c>
      <c r="D4149" s="6" t="str">
        <f>"202140042208"</f>
        <v>202140042208</v>
      </c>
      <c r="E4149" s="10" t="s">
        <v>28</v>
      </c>
      <c r="F4149" s="6" t="s">
        <v>28</v>
      </c>
      <c r="G4149" s="8">
        <v>42.35</v>
      </c>
      <c r="H4149" s="6"/>
    </row>
    <row r="4150" spans="1:8">
      <c r="A4150" s="5">
        <v>4146</v>
      </c>
      <c r="B4150" s="6" t="str">
        <f>"李红英"</f>
        <v>李红英</v>
      </c>
      <c r="C4150" s="6" t="str">
        <f t="shared" si="192"/>
        <v>女</v>
      </c>
      <c r="D4150" s="6" t="str">
        <f>"202140042209"</f>
        <v>202140042209</v>
      </c>
      <c r="E4150" s="10" t="s">
        <v>28</v>
      </c>
      <c r="F4150" s="6" t="s">
        <v>28</v>
      </c>
      <c r="G4150" s="8">
        <v>60.15</v>
      </c>
      <c r="H4150" s="6"/>
    </row>
    <row r="4151" spans="1:8">
      <c r="A4151" s="5">
        <v>4033</v>
      </c>
      <c r="B4151" s="6" t="str">
        <f>"龙兰兰"</f>
        <v>龙兰兰</v>
      </c>
      <c r="C4151" s="6" t="str">
        <f t="shared" si="192"/>
        <v>女</v>
      </c>
      <c r="D4151" s="6" t="str">
        <f>"202140042210"</f>
        <v>202140042210</v>
      </c>
      <c r="E4151" s="10" t="s">
        <v>28</v>
      </c>
      <c r="F4151" s="6" t="s">
        <v>28</v>
      </c>
      <c r="G4151" s="8">
        <v>0</v>
      </c>
      <c r="H4151" s="9">
        <v>1</v>
      </c>
    </row>
    <row r="4152" spans="1:8">
      <c r="A4152" s="5">
        <v>4177</v>
      </c>
      <c r="B4152" s="6" t="str">
        <f>"黄微"</f>
        <v>黄微</v>
      </c>
      <c r="C4152" s="6" t="str">
        <f t="shared" si="192"/>
        <v>女</v>
      </c>
      <c r="D4152" s="6" t="str">
        <f>"202140042211"</f>
        <v>202140042211</v>
      </c>
      <c r="E4152" s="10" t="s">
        <v>28</v>
      </c>
      <c r="F4152" s="6" t="s">
        <v>28</v>
      </c>
      <c r="G4152" s="8">
        <v>57.5</v>
      </c>
      <c r="H4152" s="6"/>
    </row>
    <row r="4153" spans="1:8">
      <c r="A4153" s="5">
        <v>4120</v>
      </c>
      <c r="B4153" s="6" t="str">
        <f>"吕绍英"</f>
        <v>吕绍英</v>
      </c>
      <c r="C4153" s="6" t="str">
        <f t="shared" si="192"/>
        <v>女</v>
      </c>
      <c r="D4153" s="6" t="str">
        <f>"202140042212"</f>
        <v>202140042212</v>
      </c>
      <c r="E4153" s="10" t="s">
        <v>28</v>
      </c>
      <c r="F4153" s="6" t="s">
        <v>28</v>
      </c>
      <c r="G4153" s="8">
        <v>37.1</v>
      </c>
      <c r="H4153" s="6"/>
    </row>
    <row r="4154" spans="1:8">
      <c r="A4154" s="5">
        <v>4048</v>
      </c>
      <c r="B4154" s="6" t="str">
        <f>"海洋"</f>
        <v>海洋</v>
      </c>
      <c r="C4154" s="6" t="str">
        <f t="shared" si="192"/>
        <v>女</v>
      </c>
      <c r="D4154" s="6" t="str">
        <f>"202140042213"</f>
        <v>202140042213</v>
      </c>
      <c r="E4154" s="10" t="s">
        <v>28</v>
      </c>
      <c r="F4154" s="6" t="s">
        <v>28</v>
      </c>
      <c r="G4154" s="8">
        <v>49.8</v>
      </c>
      <c r="H4154" s="6"/>
    </row>
    <row r="4155" spans="1:8">
      <c r="A4155" s="5">
        <v>3990</v>
      </c>
      <c r="B4155" s="6" t="str">
        <f>"肖露"</f>
        <v>肖露</v>
      </c>
      <c r="C4155" s="6" t="str">
        <f t="shared" si="192"/>
        <v>女</v>
      </c>
      <c r="D4155" s="6" t="str">
        <f>"202140042214"</f>
        <v>202140042214</v>
      </c>
      <c r="E4155" s="10" t="s">
        <v>28</v>
      </c>
      <c r="F4155" s="6" t="s">
        <v>28</v>
      </c>
      <c r="G4155" s="8">
        <v>41.25</v>
      </c>
      <c r="H4155" s="6"/>
    </row>
    <row r="4156" spans="1:8">
      <c r="A4156" s="5">
        <v>4151</v>
      </c>
      <c r="B4156" s="6" t="str">
        <f>"杨娜"</f>
        <v>杨娜</v>
      </c>
      <c r="C4156" s="6" t="str">
        <f t="shared" si="192"/>
        <v>女</v>
      </c>
      <c r="D4156" s="6" t="str">
        <f>"202140042215"</f>
        <v>202140042215</v>
      </c>
      <c r="E4156" s="10" t="s">
        <v>28</v>
      </c>
      <c r="F4156" s="6" t="s">
        <v>28</v>
      </c>
      <c r="G4156" s="8">
        <v>58.8</v>
      </c>
      <c r="H4156" s="6"/>
    </row>
    <row r="4157" spans="1:8">
      <c r="A4157" s="5">
        <v>4155</v>
      </c>
      <c r="B4157" s="6" t="str">
        <f>"郭小艳"</f>
        <v>郭小艳</v>
      </c>
      <c r="C4157" s="6" t="str">
        <f t="shared" si="192"/>
        <v>女</v>
      </c>
      <c r="D4157" s="6" t="str">
        <f>"202140042216"</f>
        <v>202140042216</v>
      </c>
      <c r="E4157" s="10" t="s">
        <v>28</v>
      </c>
      <c r="F4157" s="6" t="s">
        <v>28</v>
      </c>
      <c r="G4157" s="8">
        <v>54.65</v>
      </c>
      <c r="H4157" s="6"/>
    </row>
    <row r="4158" spans="1:8">
      <c r="A4158" s="5">
        <v>4119</v>
      </c>
      <c r="B4158" s="6" t="str">
        <f>"罗杨杨"</f>
        <v>罗杨杨</v>
      </c>
      <c r="C4158" s="6" t="str">
        <f t="shared" si="192"/>
        <v>女</v>
      </c>
      <c r="D4158" s="6" t="str">
        <f>"202140042217"</f>
        <v>202140042217</v>
      </c>
      <c r="E4158" s="10" t="s">
        <v>28</v>
      </c>
      <c r="F4158" s="6" t="s">
        <v>28</v>
      </c>
      <c r="G4158" s="8">
        <v>70.650000000000006</v>
      </c>
      <c r="H4158" s="6"/>
    </row>
    <row r="4159" spans="1:8">
      <c r="A4159" s="5">
        <v>4098</v>
      </c>
      <c r="B4159" s="6" t="str">
        <f>"周韩"</f>
        <v>周韩</v>
      </c>
      <c r="C4159" s="6" t="str">
        <f t="shared" si="192"/>
        <v>女</v>
      </c>
      <c r="D4159" s="6" t="str">
        <f>"202140042218"</f>
        <v>202140042218</v>
      </c>
      <c r="E4159" s="10" t="s">
        <v>28</v>
      </c>
      <c r="F4159" s="6" t="s">
        <v>28</v>
      </c>
      <c r="G4159" s="8">
        <v>55</v>
      </c>
      <c r="H4159" s="6"/>
    </row>
    <row r="4160" spans="1:8">
      <c r="A4160" s="5">
        <v>3924</v>
      </c>
      <c r="B4160" s="6" t="str">
        <f>"蒋凯曼"</f>
        <v>蒋凯曼</v>
      </c>
      <c r="C4160" s="6" t="str">
        <f t="shared" si="192"/>
        <v>女</v>
      </c>
      <c r="D4160" s="6" t="str">
        <f>"202140042219"</f>
        <v>202140042219</v>
      </c>
      <c r="E4160" s="10" t="s">
        <v>28</v>
      </c>
      <c r="F4160" s="6" t="s">
        <v>28</v>
      </c>
      <c r="G4160" s="8">
        <v>55.3</v>
      </c>
      <c r="H4160" s="6"/>
    </row>
    <row r="4161" spans="1:8">
      <c r="A4161" s="5">
        <v>3951</v>
      </c>
      <c r="B4161" s="6" t="str">
        <f>"黎莉"</f>
        <v>黎莉</v>
      </c>
      <c r="C4161" s="6" t="str">
        <f t="shared" si="192"/>
        <v>女</v>
      </c>
      <c r="D4161" s="6" t="str">
        <f>"202140042220"</f>
        <v>202140042220</v>
      </c>
      <c r="E4161" s="10" t="s">
        <v>28</v>
      </c>
      <c r="F4161" s="6" t="s">
        <v>28</v>
      </c>
      <c r="G4161" s="8">
        <v>61.45</v>
      </c>
      <c r="H4161" s="6"/>
    </row>
    <row r="4162" spans="1:8">
      <c r="A4162" s="5">
        <v>4127</v>
      </c>
      <c r="B4162" s="6" t="str">
        <f>"马春霞"</f>
        <v>马春霞</v>
      </c>
      <c r="C4162" s="6" t="str">
        <f t="shared" si="192"/>
        <v>女</v>
      </c>
      <c r="D4162" s="6" t="str">
        <f>"202140042221"</f>
        <v>202140042221</v>
      </c>
      <c r="E4162" s="10" t="s">
        <v>28</v>
      </c>
      <c r="F4162" s="6" t="s">
        <v>28</v>
      </c>
      <c r="G4162" s="8">
        <v>63.65</v>
      </c>
      <c r="H4162" s="6"/>
    </row>
    <row r="4163" spans="1:8">
      <c r="A4163" s="5">
        <v>4020</v>
      </c>
      <c r="B4163" s="6" t="str">
        <f>"李飞鸿"</f>
        <v>李飞鸿</v>
      </c>
      <c r="C4163" s="6" t="str">
        <f t="shared" si="192"/>
        <v>女</v>
      </c>
      <c r="D4163" s="6" t="str">
        <f>"202140042222"</f>
        <v>202140042222</v>
      </c>
      <c r="E4163" s="10" t="s">
        <v>28</v>
      </c>
      <c r="F4163" s="6" t="s">
        <v>28</v>
      </c>
      <c r="G4163" s="8">
        <v>49.6</v>
      </c>
      <c r="H4163" s="6"/>
    </row>
    <row r="4164" spans="1:8">
      <c r="A4164" s="5">
        <v>3958</v>
      </c>
      <c r="B4164" s="6" t="str">
        <f>"谢婷婷"</f>
        <v>谢婷婷</v>
      </c>
      <c r="C4164" s="6" t="str">
        <f t="shared" si="192"/>
        <v>女</v>
      </c>
      <c r="D4164" s="6" t="str">
        <f>"202140042223"</f>
        <v>202140042223</v>
      </c>
      <c r="E4164" s="10" t="s">
        <v>28</v>
      </c>
      <c r="F4164" s="6" t="s">
        <v>28</v>
      </c>
      <c r="G4164" s="8">
        <v>54.6</v>
      </c>
      <c r="H4164" s="6"/>
    </row>
    <row r="4165" spans="1:8">
      <c r="A4165" s="5">
        <v>3912</v>
      </c>
      <c r="B4165" s="6" t="str">
        <f>"李彬彬"</f>
        <v>李彬彬</v>
      </c>
      <c r="C4165" s="6" t="str">
        <f t="shared" si="192"/>
        <v>女</v>
      </c>
      <c r="D4165" s="6" t="str">
        <f>"202140042224"</f>
        <v>202140042224</v>
      </c>
      <c r="E4165" s="10" t="s">
        <v>28</v>
      </c>
      <c r="F4165" s="6" t="s">
        <v>28</v>
      </c>
      <c r="G4165" s="8">
        <v>0</v>
      </c>
      <c r="H4165" s="9">
        <v>1</v>
      </c>
    </row>
    <row r="4166" spans="1:8">
      <c r="A4166" s="5">
        <v>4105</v>
      </c>
      <c r="B4166" s="6" t="str">
        <f>"禹雯敏"</f>
        <v>禹雯敏</v>
      </c>
      <c r="C4166" s="6" t="str">
        <f t="shared" si="192"/>
        <v>女</v>
      </c>
      <c r="D4166" s="6" t="str">
        <f>"202140042225"</f>
        <v>202140042225</v>
      </c>
      <c r="E4166" s="10" t="s">
        <v>28</v>
      </c>
      <c r="F4166" s="6" t="s">
        <v>28</v>
      </c>
      <c r="G4166" s="8">
        <v>67.599999999999994</v>
      </c>
      <c r="H4166" s="6"/>
    </row>
    <row r="4167" spans="1:8">
      <c r="A4167" s="5">
        <v>4102</v>
      </c>
      <c r="B4167" s="6" t="str">
        <f>"刘莉"</f>
        <v>刘莉</v>
      </c>
      <c r="C4167" s="6" t="str">
        <f t="shared" si="192"/>
        <v>女</v>
      </c>
      <c r="D4167" s="6" t="str">
        <f>"202140042226"</f>
        <v>202140042226</v>
      </c>
      <c r="E4167" s="10" t="s">
        <v>28</v>
      </c>
      <c r="F4167" s="6" t="s">
        <v>28</v>
      </c>
      <c r="G4167" s="8">
        <v>53.15</v>
      </c>
      <c r="H4167" s="6"/>
    </row>
    <row r="4168" spans="1:8">
      <c r="A4168" s="5">
        <v>4188</v>
      </c>
      <c r="B4168" s="6" t="str">
        <f>"朱怡"</f>
        <v>朱怡</v>
      </c>
      <c r="C4168" s="6" t="str">
        <f t="shared" si="192"/>
        <v>女</v>
      </c>
      <c r="D4168" s="6" t="str">
        <f>"202140042227"</f>
        <v>202140042227</v>
      </c>
      <c r="E4168" s="10" t="s">
        <v>28</v>
      </c>
      <c r="F4168" s="6" t="s">
        <v>28</v>
      </c>
      <c r="G4168" s="8">
        <v>59.6</v>
      </c>
      <c r="H4168" s="6"/>
    </row>
    <row r="4169" spans="1:8">
      <c r="A4169" s="5">
        <v>4189</v>
      </c>
      <c r="B4169" s="6" t="str">
        <f>"邓立美"</f>
        <v>邓立美</v>
      </c>
      <c r="C4169" s="6" t="str">
        <f t="shared" si="192"/>
        <v>女</v>
      </c>
      <c r="D4169" s="6" t="str">
        <f>"202140042228"</f>
        <v>202140042228</v>
      </c>
      <c r="E4169" s="10" t="s">
        <v>28</v>
      </c>
      <c r="F4169" s="6" t="s">
        <v>28</v>
      </c>
      <c r="G4169" s="8">
        <v>54.6</v>
      </c>
      <c r="H4169" s="6"/>
    </row>
    <row r="4170" spans="1:8">
      <c r="A4170" s="5">
        <v>3940</v>
      </c>
      <c r="B4170" s="6" t="str">
        <f>"谭丹"</f>
        <v>谭丹</v>
      </c>
      <c r="C4170" s="6" t="str">
        <f t="shared" si="192"/>
        <v>女</v>
      </c>
      <c r="D4170" s="6" t="str">
        <f>"202140042229"</f>
        <v>202140042229</v>
      </c>
      <c r="E4170" s="10" t="s">
        <v>28</v>
      </c>
      <c r="F4170" s="6" t="s">
        <v>28</v>
      </c>
      <c r="G4170" s="8">
        <v>56.75</v>
      </c>
      <c r="H4170" s="6"/>
    </row>
    <row r="4171" spans="1:8">
      <c r="A4171" s="5">
        <v>3992</v>
      </c>
      <c r="B4171" s="6" t="str">
        <f>"付诗诗"</f>
        <v>付诗诗</v>
      </c>
      <c r="C4171" s="6" t="str">
        <f t="shared" si="192"/>
        <v>女</v>
      </c>
      <c r="D4171" s="6" t="str">
        <f>"202140042230"</f>
        <v>202140042230</v>
      </c>
      <c r="E4171" s="10" t="s">
        <v>28</v>
      </c>
      <c r="F4171" s="6" t="s">
        <v>28</v>
      </c>
      <c r="G4171" s="8">
        <v>53.05</v>
      </c>
      <c r="H4171" s="6"/>
    </row>
    <row r="4172" spans="1:8">
      <c r="A4172" s="5">
        <v>4023</v>
      </c>
      <c r="B4172" s="6" t="str">
        <f>"黎文艺"</f>
        <v>黎文艺</v>
      </c>
      <c r="C4172" s="6" t="str">
        <f t="shared" si="192"/>
        <v>女</v>
      </c>
      <c r="D4172" s="6" t="str">
        <f>"202140042301"</f>
        <v>202140042301</v>
      </c>
      <c r="E4172" s="10" t="s">
        <v>28</v>
      </c>
      <c r="F4172" s="6" t="s">
        <v>28</v>
      </c>
      <c r="G4172" s="8">
        <v>50.25</v>
      </c>
      <c r="H4172" s="6"/>
    </row>
    <row r="4173" spans="1:8">
      <c r="A4173" s="5">
        <v>4013</v>
      </c>
      <c r="B4173" s="6" t="str">
        <f>"陈娟"</f>
        <v>陈娟</v>
      </c>
      <c r="C4173" s="6" t="str">
        <f t="shared" si="192"/>
        <v>女</v>
      </c>
      <c r="D4173" s="6" t="str">
        <f>"202140042302"</f>
        <v>202140042302</v>
      </c>
      <c r="E4173" s="10" t="s">
        <v>28</v>
      </c>
      <c r="F4173" s="6" t="s">
        <v>28</v>
      </c>
      <c r="G4173" s="8">
        <v>61.3</v>
      </c>
      <c r="H4173" s="6"/>
    </row>
    <row r="4174" spans="1:8">
      <c r="A4174" s="5">
        <v>4123</v>
      </c>
      <c r="B4174" s="6" t="str">
        <f>"谢莉莉"</f>
        <v>谢莉莉</v>
      </c>
      <c r="C4174" s="6" t="str">
        <f t="shared" si="192"/>
        <v>女</v>
      </c>
      <c r="D4174" s="6" t="str">
        <f>"202140042303"</f>
        <v>202140042303</v>
      </c>
      <c r="E4174" s="10" t="s">
        <v>28</v>
      </c>
      <c r="F4174" s="6" t="s">
        <v>28</v>
      </c>
      <c r="G4174" s="8">
        <v>56.25</v>
      </c>
      <c r="H4174" s="6"/>
    </row>
    <row r="4175" spans="1:8">
      <c r="A4175" s="5">
        <v>4078</v>
      </c>
      <c r="B4175" s="6" t="str">
        <f>"刘月"</f>
        <v>刘月</v>
      </c>
      <c r="C4175" s="6" t="str">
        <f t="shared" si="192"/>
        <v>女</v>
      </c>
      <c r="D4175" s="6" t="str">
        <f>"202140042304"</f>
        <v>202140042304</v>
      </c>
      <c r="E4175" s="10" t="s">
        <v>28</v>
      </c>
      <c r="F4175" s="6" t="s">
        <v>28</v>
      </c>
      <c r="G4175" s="8">
        <v>45.35</v>
      </c>
      <c r="H4175" s="6"/>
    </row>
    <row r="4176" spans="1:8">
      <c r="A4176" s="5">
        <v>4110</v>
      </c>
      <c r="B4176" s="6" t="str">
        <f>"刘婵娟"</f>
        <v>刘婵娟</v>
      </c>
      <c r="C4176" s="6" t="str">
        <f t="shared" si="192"/>
        <v>女</v>
      </c>
      <c r="D4176" s="6" t="str">
        <f>"202140042305"</f>
        <v>202140042305</v>
      </c>
      <c r="E4176" s="10" t="s">
        <v>28</v>
      </c>
      <c r="F4176" s="6" t="s">
        <v>28</v>
      </c>
      <c r="G4176" s="8">
        <v>70.900000000000006</v>
      </c>
      <c r="H4176" s="6"/>
    </row>
    <row r="4177" spans="1:8">
      <c r="A4177" s="5">
        <v>4003</v>
      </c>
      <c r="B4177" s="6" t="str">
        <f>"曾黔山"</f>
        <v>曾黔山</v>
      </c>
      <c r="C4177" s="6" t="str">
        <f>"男"</f>
        <v>男</v>
      </c>
      <c r="D4177" s="6" t="str">
        <f>"202140042306"</f>
        <v>202140042306</v>
      </c>
      <c r="E4177" s="10" t="s">
        <v>28</v>
      </c>
      <c r="F4177" s="6" t="s">
        <v>28</v>
      </c>
      <c r="G4177" s="8">
        <v>49.2</v>
      </c>
      <c r="H4177" s="6"/>
    </row>
    <row r="4178" spans="1:8">
      <c r="A4178" s="5">
        <v>3939</v>
      </c>
      <c r="B4178" s="6" t="str">
        <f>"唐依帆"</f>
        <v>唐依帆</v>
      </c>
      <c r="C4178" s="6" t="str">
        <f t="shared" ref="C4178:C4209" si="193">"女"</f>
        <v>女</v>
      </c>
      <c r="D4178" s="6" t="str">
        <f>"202140042307"</f>
        <v>202140042307</v>
      </c>
      <c r="E4178" s="10" t="s">
        <v>28</v>
      </c>
      <c r="F4178" s="6" t="s">
        <v>28</v>
      </c>
      <c r="G4178" s="8">
        <v>50.7</v>
      </c>
      <c r="H4178" s="6"/>
    </row>
    <row r="4179" spans="1:8">
      <c r="A4179" s="5">
        <v>4190</v>
      </c>
      <c r="B4179" s="6" t="str">
        <f>"沈丽城"</f>
        <v>沈丽城</v>
      </c>
      <c r="C4179" s="6" t="str">
        <f t="shared" si="193"/>
        <v>女</v>
      </c>
      <c r="D4179" s="6" t="str">
        <f>"202140042308"</f>
        <v>202140042308</v>
      </c>
      <c r="E4179" s="10" t="s">
        <v>28</v>
      </c>
      <c r="F4179" s="6" t="s">
        <v>28</v>
      </c>
      <c r="G4179" s="8">
        <v>61.9</v>
      </c>
      <c r="H4179" s="6"/>
    </row>
    <row r="4180" spans="1:8">
      <c r="A4180" s="5">
        <v>4145</v>
      </c>
      <c r="B4180" s="6" t="str">
        <f>"周婷"</f>
        <v>周婷</v>
      </c>
      <c r="C4180" s="6" t="str">
        <f t="shared" si="193"/>
        <v>女</v>
      </c>
      <c r="D4180" s="6" t="str">
        <f>"202140042309"</f>
        <v>202140042309</v>
      </c>
      <c r="E4180" s="10" t="s">
        <v>28</v>
      </c>
      <c r="F4180" s="6" t="s">
        <v>28</v>
      </c>
      <c r="G4180" s="8">
        <v>60.4</v>
      </c>
      <c r="H4180" s="6"/>
    </row>
    <row r="4181" spans="1:8">
      <c r="A4181" s="5">
        <v>4163</v>
      </c>
      <c r="B4181" s="6" t="str">
        <f>"刘海平"</f>
        <v>刘海平</v>
      </c>
      <c r="C4181" s="6" t="str">
        <f t="shared" si="193"/>
        <v>女</v>
      </c>
      <c r="D4181" s="6" t="str">
        <f>"202140042310"</f>
        <v>202140042310</v>
      </c>
      <c r="E4181" s="10" t="s">
        <v>28</v>
      </c>
      <c r="F4181" s="6" t="s">
        <v>28</v>
      </c>
      <c r="G4181" s="8">
        <v>56.4</v>
      </c>
      <c r="H4181" s="6"/>
    </row>
    <row r="4182" spans="1:8">
      <c r="A4182" s="5">
        <v>3944</v>
      </c>
      <c r="B4182" s="6" t="str">
        <f>"粟丽娟"</f>
        <v>粟丽娟</v>
      </c>
      <c r="C4182" s="6" t="str">
        <f t="shared" si="193"/>
        <v>女</v>
      </c>
      <c r="D4182" s="6" t="str">
        <f>"202140042311"</f>
        <v>202140042311</v>
      </c>
      <c r="E4182" s="10" t="s">
        <v>28</v>
      </c>
      <c r="F4182" s="6" t="s">
        <v>28</v>
      </c>
      <c r="G4182" s="8">
        <v>70.650000000000006</v>
      </c>
      <c r="H4182" s="6"/>
    </row>
    <row r="4183" spans="1:8">
      <c r="A4183" s="5">
        <v>4131</v>
      </c>
      <c r="B4183" s="6" t="str">
        <f>"杨春艳"</f>
        <v>杨春艳</v>
      </c>
      <c r="C4183" s="6" t="str">
        <f t="shared" si="193"/>
        <v>女</v>
      </c>
      <c r="D4183" s="6" t="str">
        <f>"202140042312"</f>
        <v>202140042312</v>
      </c>
      <c r="E4183" s="10" t="s">
        <v>28</v>
      </c>
      <c r="F4183" s="6" t="s">
        <v>28</v>
      </c>
      <c r="G4183" s="8">
        <v>62.65</v>
      </c>
      <c r="H4183" s="6"/>
    </row>
    <row r="4184" spans="1:8">
      <c r="A4184" s="5">
        <v>4011</v>
      </c>
      <c r="B4184" s="6" t="str">
        <f>"姚认"</f>
        <v>姚认</v>
      </c>
      <c r="C4184" s="6" t="str">
        <f t="shared" si="193"/>
        <v>女</v>
      </c>
      <c r="D4184" s="6" t="str">
        <f>"202140042313"</f>
        <v>202140042313</v>
      </c>
      <c r="E4184" s="10" t="s">
        <v>28</v>
      </c>
      <c r="F4184" s="6" t="s">
        <v>28</v>
      </c>
      <c r="G4184" s="8">
        <v>43.6</v>
      </c>
      <c r="H4184" s="6"/>
    </row>
    <row r="4185" spans="1:8">
      <c r="A4185" s="5">
        <v>3969</v>
      </c>
      <c r="B4185" s="6" t="str">
        <f>"曾婕"</f>
        <v>曾婕</v>
      </c>
      <c r="C4185" s="6" t="str">
        <f t="shared" si="193"/>
        <v>女</v>
      </c>
      <c r="D4185" s="6" t="str">
        <f>"202140042314"</f>
        <v>202140042314</v>
      </c>
      <c r="E4185" s="10" t="s">
        <v>28</v>
      </c>
      <c r="F4185" s="6" t="s">
        <v>28</v>
      </c>
      <c r="G4185" s="8">
        <v>63.5</v>
      </c>
      <c r="H4185" s="6"/>
    </row>
    <row r="4186" spans="1:8">
      <c r="A4186" s="5">
        <v>3947</v>
      </c>
      <c r="B4186" s="6" t="str">
        <f>"文耀翎"</f>
        <v>文耀翎</v>
      </c>
      <c r="C4186" s="6" t="str">
        <f t="shared" si="193"/>
        <v>女</v>
      </c>
      <c r="D4186" s="6" t="str">
        <f>"202140042315"</f>
        <v>202140042315</v>
      </c>
      <c r="E4186" s="10" t="s">
        <v>28</v>
      </c>
      <c r="F4186" s="6" t="s">
        <v>28</v>
      </c>
      <c r="G4186" s="8">
        <v>35</v>
      </c>
      <c r="H4186" s="6"/>
    </row>
    <row r="4187" spans="1:8">
      <c r="A4187" s="5">
        <v>4156</v>
      </c>
      <c r="B4187" s="6" t="str">
        <f>"林颖"</f>
        <v>林颖</v>
      </c>
      <c r="C4187" s="6" t="str">
        <f t="shared" si="193"/>
        <v>女</v>
      </c>
      <c r="D4187" s="6" t="str">
        <f>"202140042316"</f>
        <v>202140042316</v>
      </c>
      <c r="E4187" s="10" t="s">
        <v>28</v>
      </c>
      <c r="F4187" s="6" t="s">
        <v>28</v>
      </c>
      <c r="G4187" s="8">
        <v>57.7</v>
      </c>
      <c r="H4187" s="6"/>
    </row>
    <row r="4188" spans="1:8">
      <c r="A4188" s="5">
        <v>4180</v>
      </c>
      <c r="B4188" s="6" t="str">
        <f>"阳小玲"</f>
        <v>阳小玲</v>
      </c>
      <c r="C4188" s="6" t="str">
        <f t="shared" si="193"/>
        <v>女</v>
      </c>
      <c r="D4188" s="6" t="str">
        <f>"202140042317"</f>
        <v>202140042317</v>
      </c>
      <c r="E4188" s="10" t="s">
        <v>28</v>
      </c>
      <c r="F4188" s="6" t="s">
        <v>28</v>
      </c>
      <c r="G4188" s="8">
        <v>62.85</v>
      </c>
      <c r="H4188" s="6"/>
    </row>
    <row r="4189" spans="1:8">
      <c r="A4189" s="5">
        <v>3942</v>
      </c>
      <c r="B4189" s="6" t="str">
        <f>"黄小英"</f>
        <v>黄小英</v>
      </c>
      <c r="C4189" s="6" t="str">
        <f t="shared" si="193"/>
        <v>女</v>
      </c>
      <c r="D4189" s="6" t="str">
        <f>"202140042318"</f>
        <v>202140042318</v>
      </c>
      <c r="E4189" s="10" t="s">
        <v>28</v>
      </c>
      <c r="F4189" s="6" t="s">
        <v>28</v>
      </c>
      <c r="G4189" s="8">
        <v>57.05</v>
      </c>
      <c r="H4189" s="6"/>
    </row>
    <row r="4190" spans="1:8">
      <c r="A4190" s="5">
        <v>4097</v>
      </c>
      <c r="B4190" s="6" t="str">
        <f>"肖立丹"</f>
        <v>肖立丹</v>
      </c>
      <c r="C4190" s="6" t="str">
        <f t="shared" si="193"/>
        <v>女</v>
      </c>
      <c r="D4190" s="6" t="str">
        <f>"202140042319"</f>
        <v>202140042319</v>
      </c>
      <c r="E4190" s="10" t="s">
        <v>28</v>
      </c>
      <c r="F4190" s="6" t="s">
        <v>28</v>
      </c>
      <c r="G4190" s="8">
        <v>0</v>
      </c>
      <c r="H4190" s="9">
        <v>1</v>
      </c>
    </row>
    <row r="4191" spans="1:8">
      <c r="A4191" s="5">
        <v>4002</v>
      </c>
      <c r="B4191" s="6" t="str">
        <f>"刘洛"</f>
        <v>刘洛</v>
      </c>
      <c r="C4191" s="6" t="str">
        <f t="shared" si="193"/>
        <v>女</v>
      </c>
      <c r="D4191" s="6" t="str">
        <f>"202140042320"</f>
        <v>202140042320</v>
      </c>
      <c r="E4191" s="10" t="s">
        <v>28</v>
      </c>
      <c r="F4191" s="6" t="s">
        <v>28</v>
      </c>
      <c r="G4191" s="8">
        <v>57.15</v>
      </c>
      <c r="H4191" s="6"/>
    </row>
    <row r="4192" spans="1:8">
      <c r="A4192" s="5">
        <v>4117</v>
      </c>
      <c r="B4192" s="6" t="str">
        <f>"姚琳"</f>
        <v>姚琳</v>
      </c>
      <c r="C4192" s="6" t="str">
        <f t="shared" si="193"/>
        <v>女</v>
      </c>
      <c r="D4192" s="6" t="str">
        <f>"202140042321"</f>
        <v>202140042321</v>
      </c>
      <c r="E4192" s="10" t="s">
        <v>28</v>
      </c>
      <c r="F4192" s="6" t="s">
        <v>28</v>
      </c>
      <c r="G4192" s="8">
        <v>0</v>
      </c>
      <c r="H4192" s="9">
        <v>1</v>
      </c>
    </row>
    <row r="4193" spans="1:8">
      <c r="A4193" s="5">
        <v>4026</v>
      </c>
      <c r="B4193" s="6" t="str">
        <f>"陈瑛"</f>
        <v>陈瑛</v>
      </c>
      <c r="C4193" s="6" t="str">
        <f t="shared" si="193"/>
        <v>女</v>
      </c>
      <c r="D4193" s="6" t="str">
        <f>"202140042322"</f>
        <v>202140042322</v>
      </c>
      <c r="E4193" s="10" t="s">
        <v>28</v>
      </c>
      <c r="F4193" s="6" t="s">
        <v>28</v>
      </c>
      <c r="G4193" s="8">
        <v>61.7</v>
      </c>
      <c r="H4193" s="6"/>
    </row>
    <row r="4194" spans="1:8">
      <c r="A4194" s="5">
        <v>3979</v>
      </c>
      <c r="B4194" s="6" t="str">
        <f>"何茹芯"</f>
        <v>何茹芯</v>
      </c>
      <c r="C4194" s="6" t="str">
        <f t="shared" si="193"/>
        <v>女</v>
      </c>
      <c r="D4194" s="6" t="str">
        <f>"202140042323"</f>
        <v>202140042323</v>
      </c>
      <c r="E4194" s="10" t="s">
        <v>28</v>
      </c>
      <c r="F4194" s="6" t="s">
        <v>28</v>
      </c>
      <c r="G4194" s="8">
        <v>41.15</v>
      </c>
      <c r="H4194" s="6"/>
    </row>
    <row r="4195" spans="1:8">
      <c r="A4195" s="5">
        <v>4037</v>
      </c>
      <c r="B4195" s="6" t="str">
        <f>"蒋娟"</f>
        <v>蒋娟</v>
      </c>
      <c r="C4195" s="6" t="str">
        <f t="shared" si="193"/>
        <v>女</v>
      </c>
      <c r="D4195" s="6" t="str">
        <f>"202140042324"</f>
        <v>202140042324</v>
      </c>
      <c r="E4195" s="10" t="s">
        <v>28</v>
      </c>
      <c r="F4195" s="6" t="s">
        <v>28</v>
      </c>
      <c r="G4195" s="8">
        <v>58.05</v>
      </c>
      <c r="H4195" s="6"/>
    </row>
    <row r="4196" spans="1:8">
      <c r="A4196" s="5">
        <v>4016</v>
      </c>
      <c r="B4196" s="6" t="str">
        <f>"刘佳慧"</f>
        <v>刘佳慧</v>
      </c>
      <c r="C4196" s="6" t="str">
        <f t="shared" si="193"/>
        <v>女</v>
      </c>
      <c r="D4196" s="6" t="str">
        <f>"202140042325"</f>
        <v>202140042325</v>
      </c>
      <c r="E4196" s="10" t="s">
        <v>28</v>
      </c>
      <c r="F4196" s="6" t="s">
        <v>28</v>
      </c>
      <c r="G4196" s="8">
        <v>52.6</v>
      </c>
      <c r="H4196" s="6"/>
    </row>
    <row r="4197" spans="1:8">
      <c r="A4197" s="5">
        <v>3998</v>
      </c>
      <c r="B4197" s="6" t="str">
        <f>"邓娜娜"</f>
        <v>邓娜娜</v>
      </c>
      <c r="C4197" s="6" t="str">
        <f t="shared" si="193"/>
        <v>女</v>
      </c>
      <c r="D4197" s="6" t="str">
        <f>"202140042326"</f>
        <v>202140042326</v>
      </c>
      <c r="E4197" s="10" t="s">
        <v>28</v>
      </c>
      <c r="F4197" s="6" t="s">
        <v>28</v>
      </c>
      <c r="G4197" s="8">
        <v>46.65</v>
      </c>
      <c r="H4197" s="6"/>
    </row>
    <row r="4198" spans="1:8">
      <c r="A4198" s="5">
        <v>4075</v>
      </c>
      <c r="B4198" s="6" t="str">
        <f>"张宁"</f>
        <v>张宁</v>
      </c>
      <c r="C4198" s="6" t="str">
        <f t="shared" si="193"/>
        <v>女</v>
      </c>
      <c r="D4198" s="6" t="str">
        <f>"202140042327"</f>
        <v>202140042327</v>
      </c>
      <c r="E4198" s="10" t="s">
        <v>28</v>
      </c>
      <c r="F4198" s="6" t="s">
        <v>28</v>
      </c>
      <c r="G4198" s="8">
        <v>56.4</v>
      </c>
      <c r="H4198" s="6"/>
    </row>
    <row r="4199" spans="1:8">
      <c r="A4199" s="5">
        <v>4053</v>
      </c>
      <c r="B4199" s="6" t="str">
        <f>"黄丹"</f>
        <v>黄丹</v>
      </c>
      <c r="C4199" s="6" t="str">
        <f t="shared" si="193"/>
        <v>女</v>
      </c>
      <c r="D4199" s="6" t="str">
        <f>"202140042328"</f>
        <v>202140042328</v>
      </c>
      <c r="E4199" s="10" t="s">
        <v>28</v>
      </c>
      <c r="F4199" s="6" t="s">
        <v>28</v>
      </c>
      <c r="G4199" s="8">
        <v>53.15</v>
      </c>
      <c r="H4199" s="6"/>
    </row>
    <row r="4200" spans="1:8">
      <c r="A4200" s="5">
        <v>4018</v>
      </c>
      <c r="B4200" s="6" t="str">
        <f>"杨芳艳"</f>
        <v>杨芳艳</v>
      </c>
      <c r="C4200" s="6" t="str">
        <f t="shared" si="193"/>
        <v>女</v>
      </c>
      <c r="D4200" s="6" t="str">
        <f>"202140042329"</f>
        <v>202140042329</v>
      </c>
      <c r="E4200" s="10" t="s">
        <v>28</v>
      </c>
      <c r="F4200" s="6" t="s">
        <v>28</v>
      </c>
      <c r="G4200" s="8">
        <v>50.65</v>
      </c>
      <c r="H4200" s="6"/>
    </row>
    <row r="4201" spans="1:8">
      <c r="A4201" s="5">
        <v>4124</v>
      </c>
      <c r="B4201" s="6" t="str">
        <f>"肖庭"</f>
        <v>肖庭</v>
      </c>
      <c r="C4201" s="6" t="str">
        <f t="shared" si="193"/>
        <v>女</v>
      </c>
      <c r="D4201" s="6" t="str">
        <f>"202140042330"</f>
        <v>202140042330</v>
      </c>
      <c r="E4201" s="10" t="s">
        <v>28</v>
      </c>
      <c r="F4201" s="6" t="s">
        <v>28</v>
      </c>
      <c r="G4201" s="8">
        <v>59.6</v>
      </c>
      <c r="H4201" s="6"/>
    </row>
    <row r="4202" spans="1:8">
      <c r="A4202" s="5">
        <v>4100</v>
      </c>
      <c r="B4202" s="6" t="str">
        <f>"李露"</f>
        <v>李露</v>
      </c>
      <c r="C4202" s="6" t="str">
        <f t="shared" si="193"/>
        <v>女</v>
      </c>
      <c r="D4202" s="6" t="str">
        <f>"202140042401"</f>
        <v>202140042401</v>
      </c>
      <c r="E4202" s="10" t="s">
        <v>28</v>
      </c>
      <c r="F4202" s="6" t="s">
        <v>28</v>
      </c>
      <c r="G4202" s="8">
        <v>64.2</v>
      </c>
      <c r="H4202" s="6"/>
    </row>
    <row r="4203" spans="1:8">
      <c r="A4203" s="5">
        <v>4019</v>
      </c>
      <c r="B4203" s="6" t="str">
        <f>"李艺文"</f>
        <v>李艺文</v>
      </c>
      <c r="C4203" s="6" t="str">
        <f t="shared" si="193"/>
        <v>女</v>
      </c>
      <c r="D4203" s="6" t="str">
        <f>"202140042402"</f>
        <v>202140042402</v>
      </c>
      <c r="E4203" s="10" t="s">
        <v>28</v>
      </c>
      <c r="F4203" s="6" t="s">
        <v>28</v>
      </c>
      <c r="G4203" s="8">
        <v>58.2</v>
      </c>
      <c r="H4203" s="6"/>
    </row>
    <row r="4204" spans="1:8">
      <c r="A4204" s="5">
        <v>3980</v>
      </c>
      <c r="B4204" s="6" t="str">
        <f>"黄立萍"</f>
        <v>黄立萍</v>
      </c>
      <c r="C4204" s="6" t="str">
        <f t="shared" si="193"/>
        <v>女</v>
      </c>
      <c r="D4204" s="6" t="str">
        <f>"202140042403"</f>
        <v>202140042403</v>
      </c>
      <c r="E4204" s="10" t="s">
        <v>28</v>
      </c>
      <c r="F4204" s="6" t="s">
        <v>28</v>
      </c>
      <c r="G4204" s="8">
        <v>53.7</v>
      </c>
      <c r="H4204" s="6"/>
    </row>
    <row r="4205" spans="1:8">
      <c r="A4205" s="5">
        <v>3957</v>
      </c>
      <c r="B4205" s="6" t="str">
        <f>"吴清清"</f>
        <v>吴清清</v>
      </c>
      <c r="C4205" s="6" t="str">
        <f t="shared" si="193"/>
        <v>女</v>
      </c>
      <c r="D4205" s="6" t="str">
        <f>"202140042404"</f>
        <v>202140042404</v>
      </c>
      <c r="E4205" s="10" t="s">
        <v>28</v>
      </c>
      <c r="F4205" s="6" t="s">
        <v>28</v>
      </c>
      <c r="G4205" s="8">
        <v>45.5</v>
      </c>
      <c r="H4205" s="6"/>
    </row>
    <row r="4206" spans="1:8">
      <c r="A4206" s="5">
        <v>4103</v>
      </c>
      <c r="B4206" s="6" t="str">
        <f>"唐玲"</f>
        <v>唐玲</v>
      </c>
      <c r="C4206" s="6" t="str">
        <f t="shared" si="193"/>
        <v>女</v>
      </c>
      <c r="D4206" s="6" t="str">
        <f>"202140042405"</f>
        <v>202140042405</v>
      </c>
      <c r="E4206" s="10" t="s">
        <v>28</v>
      </c>
      <c r="F4206" s="6" t="s">
        <v>28</v>
      </c>
      <c r="G4206" s="8">
        <v>67.45</v>
      </c>
      <c r="H4206" s="6"/>
    </row>
    <row r="4207" spans="1:8">
      <c r="A4207" s="5">
        <v>3909</v>
      </c>
      <c r="B4207" s="6" t="str">
        <f>"宋媛"</f>
        <v>宋媛</v>
      </c>
      <c r="C4207" s="6" t="str">
        <f t="shared" si="193"/>
        <v>女</v>
      </c>
      <c r="D4207" s="6" t="str">
        <f>"202140042406"</f>
        <v>202140042406</v>
      </c>
      <c r="E4207" s="10" t="s">
        <v>28</v>
      </c>
      <c r="F4207" s="6" t="s">
        <v>28</v>
      </c>
      <c r="G4207" s="8">
        <v>0</v>
      </c>
      <c r="H4207" s="9">
        <v>1</v>
      </c>
    </row>
    <row r="4208" spans="1:8">
      <c r="A4208" s="5">
        <v>4195</v>
      </c>
      <c r="B4208" s="6" t="str">
        <f>"霍崇瑜"</f>
        <v>霍崇瑜</v>
      </c>
      <c r="C4208" s="6" t="str">
        <f t="shared" si="193"/>
        <v>女</v>
      </c>
      <c r="D4208" s="6" t="str">
        <f>"202140042407"</f>
        <v>202140042407</v>
      </c>
      <c r="E4208" s="10" t="s">
        <v>28</v>
      </c>
      <c r="F4208" s="6" t="s">
        <v>28</v>
      </c>
      <c r="G4208" s="8">
        <v>39.549999999999997</v>
      </c>
      <c r="H4208" s="6"/>
    </row>
    <row r="4209" spans="1:8">
      <c r="A4209" s="5">
        <v>4041</v>
      </c>
      <c r="B4209" s="6" t="str">
        <f>"万力"</f>
        <v>万力</v>
      </c>
      <c r="C4209" s="6" t="str">
        <f t="shared" si="193"/>
        <v>女</v>
      </c>
      <c r="D4209" s="6" t="str">
        <f>"202140042408"</f>
        <v>202140042408</v>
      </c>
      <c r="E4209" s="10" t="s">
        <v>28</v>
      </c>
      <c r="F4209" s="6" t="s">
        <v>28</v>
      </c>
      <c r="G4209" s="8">
        <v>47.45</v>
      </c>
      <c r="H4209" s="6"/>
    </row>
    <row r="4210" spans="1:8">
      <c r="A4210" s="5">
        <v>4060</v>
      </c>
      <c r="B4210" s="6" t="str">
        <f>"欧阳宁娜"</f>
        <v>欧阳宁娜</v>
      </c>
      <c r="C4210" s="6" t="str">
        <f t="shared" ref="C4210:C4241" si="194">"女"</f>
        <v>女</v>
      </c>
      <c r="D4210" s="6" t="str">
        <f>"202140042409"</f>
        <v>202140042409</v>
      </c>
      <c r="E4210" s="10" t="s">
        <v>28</v>
      </c>
      <c r="F4210" s="6" t="s">
        <v>28</v>
      </c>
      <c r="G4210" s="8">
        <v>57</v>
      </c>
      <c r="H4210" s="6"/>
    </row>
    <row r="4211" spans="1:8">
      <c r="A4211" s="5">
        <v>4135</v>
      </c>
      <c r="B4211" s="6" t="str">
        <f>"海梦婧"</f>
        <v>海梦婧</v>
      </c>
      <c r="C4211" s="6" t="str">
        <f t="shared" si="194"/>
        <v>女</v>
      </c>
      <c r="D4211" s="6" t="str">
        <f>"202140042410"</f>
        <v>202140042410</v>
      </c>
      <c r="E4211" s="10" t="s">
        <v>28</v>
      </c>
      <c r="F4211" s="6" t="s">
        <v>28</v>
      </c>
      <c r="G4211" s="8">
        <v>61.3</v>
      </c>
      <c r="H4211" s="6"/>
    </row>
    <row r="4212" spans="1:8">
      <c r="A4212" s="5">
        <v>4085</v>
      </c>
      <c r="B4212" s="6" t="str">
        <f>"唐丽敏"</f>
        <v>唐丽敏</v>
      </c>
      <c r="C4212" s="6" t="str">
        <f t="shared" si="194"/>
        <v>女</v>
      </c>
      <c r="D4212" s="6" t="str">
        <f>"202140042411"</f>
        <v>202140042411</v>
      </c>
      <c r="E4212" s="10" t="s">
        <v>28</v>
      </c>
      <c r="F4212" s="6" t="s">
        <v>28</v>
      </c>
      <c r="G4212" s="8">
        <v>71.5</v>
      </c>
      <c r="H4212" s="6"/>
    </row>
    <row r="4213" spans="1:8">
      <c r="A4213" s="5">
        <v>4067</v>
      </c>
      <c r="B4213" s="6" t="str">
        <f>"王钱容"</f>
        <v>王钱容</v>
      </c>
      <c r="C4213" s="6" t="str">
        <f t="shared" si="194"/>
        <v>女</v>
      </c>
      <c r="D4213" s="6" t="str">
        <f>"202140042412"</f>
        <v>202140042412</v>
      </c>
      <c r="E4213" s="10" t="s">
        <v>28</v>
      </c>
      <c r="F4213" s="6" t="s">
        <v>28</v>
      </c>
      <c r="G4213" s="8">
        <v>60.2</v>
      </c>
      <c r="H4213" s="6"/>
    </row>
    <row r="4214" spans="1:8">
      <c r="A4214" s="5">
        <v>3949</v>
      </c>
      <c r="B4214" s="6" t="str">
        <f>"易宏慧"</f>
        <v>易宏慧</v>
      </c>
      <c r="C4214" s="6" t="str">
        <f t="shared" si="194"/>
        <v>女</v>
      </c>
      <c r="D4214" s="6" t="str">
        <f>"202140042413"</f>
        <v>202140042413</v>
      </c>
      <c r="E4214" s="10" t="s">
        <v>28</v>
      </c>
      <c r="F4214" s="6" t="s">
        <v>28</v>
      </c>
      <c r="G4214" s="8">
        <v>45.15</v>
      </c>
      <c r="H4214" s="6"/>
    </row>
    <row r="4215" spans="1:8">
      <c r="A4215" s="5">
        <v>4112</v>
      </c>
      <c r="B4215" s="6" t="str">
        <f>"王旭芬"</f>
        <v>王旭芬</v>
      </c>
      <c r="C4215" s="6" t="str">
        <f t="shared" si="194"/>
        <v>女</v>
      </c>
      <c r="D4215" s="6" t="str">
        <f>"202140042414"</f>
        <v>202140042414</v>
      </c>
      <c r="E4215" s="10" t="s">
        <v>28</v>
      </c>
      <c r="F4215" s="6" t="s">
        <v>28</v>
      </c>
      <c r="G4215" s="8">
        <v>54.2</v>
      </c>
      <c r="H4215" s="6"/>
    </row>
    <row r="4216" spans="1:8">
      <c r="A4216" s="5">
        <v>4061</v>
      </c>
      <c r="B4216" s="6" t="str">
        <f>"王明慧"</f>
        <v>王明慧</v>
      </c>
      <c r="C4216" s="6" t="str">
        <f t="shared" si="194"/>
        <v>女</v>
      </c>
      <c r="D4216" s="6" t="str">
        <f>"202140042415"</f>
        <v>202140042415</v>
      </c>
      <c r="E4216" s="10" t="s">
        <v>28</v>
      </c>
      <c r="F4216" s="6" t="s">
        <v>28</v>
      </c>
      <c r="G4216" s="8">
        <v>68.45</v>
      </c>
      <c r="H4216" s="6"/>
    </row>
    <row r="4217" spans="1:8">
      <c r="A4217" s="5">
        <v>4174</v>
      </c>
      <c r="B4217" s="6" t="str">
        <f>"向英佩"</f>
        <v>向英佩</v>
      </c>
      <c r="C4217" s="6" t="str">
        <f t="shared" si="194"/>
        <v>女</v>
      </c>
      <c r="D4217" s="6" t="str">
        <f>"202140042416"</f>
        <v>202140042416</v>
      </c>
      <c r="E4217" s="10" t="s">
        <v>28</v>
      </c>
      <c r="F4217" s="6" t="s">
        <v>28</v>
      </c>
      <c r="G4217" s="8">
        <v>54.2</v>
      </c>
      <c r="H4217" s="6"/>
    </row>
    <row r="4218" spans="1:8">
      <c r="A4218" s="5">
        <v>4121</v>
      </c>
      <c r="B4218" s="6" t="str">
        <f>"何银燕"</f>
        <v>何银燕</v>
      </c>
      <c r="C4218" s="6" t="str">
        <f t="shared" si="194"/>
        <v>女</v>
      </c>
      <c r="D4218" s="6" t="str">
        <f>"202140042417"</f>
        <v>202140042417</v>
      </c>
      <c r="E4218" s="10" t="s">
        <v>28</v>
      </c>
      <c r="F4218" s="6" t="s">
        <v>28</v>
      </c>
      <c r="G4218" s="8">
        <v>65.599999999999994</v>
      </c>
      <c r="H4218" s="6"/>
    </row>
    <row r="4219" spans="1:8">
      <c r="A4219" s="5">
        <v>3989</v>
      </c>
      <c r="B4219" s="6" t="str">
        <f>"唐妮"</f>
        <v>唐妮</v>
      </c>
      <c r="C4219" s="6" t="str">
        <f t="shared" si="194"/>
        <v>女</v>
      </c>
      <c r="D4219" s="6" t="str">
        <f>"202140042418"</f>
        <v>202140042418</v>
      </c>
      <c r="E4219" s="10" t="s">
        <v>28</v>
      </c>
      <c r="F4219" s="6" t="s">
        <v>28</v>
      </c>
      <c r="G4219" s="8">
        <v>60.2</v>
      </c>
      <c r="H4219" s="6"/>
    </row>
    <row r="4220" spans="1:8">
      <c r="A4220" s="5">
        <v>4183</v>
      </c>
      <c r="B4220" s="6" t="str">
        <f>"陈思"</f>
        <v>陈思</v>
      </c>
      <c r="C4220" s="6" t="str">
        <f t="shared" si="194"/>
        <v>女</v>
      </c>
      <c r="D4220" s="6" t="str">
        <f>"202140042419"</f>
        <v>202140042419</v>
      </c>
      <c r="E4220" s="10" t="s">
        <v>28</v>
      </c>
      <c r="F4220" s="6" t="s">
        <v>28</v>
      </c>
      <c r="G4220" s="8">
        <v>64.2</v>
      </c>
      <c r="H4220" s="6"/>
    </row>
    <row r="4221" spans="1:8">
      <c r="A4221" s="5">
        <v>3937</v>
      </c>
      <c r="B4221" s="6" t="str">
        <f>"李旭银"</f>
        <v>李旭银</v>
      </c>
      <c r="C4221" s="6" t="str">
        <f t="shared" si="194"/>
        <v>女</v>
      </c>
      <c r="D4221" s="6" t="str">
        <f>"202140042420"</f>
        <v>202140042420</v>
      </c>
      <c r="E4221" s="10" t="s">
        <v>28</v>
      </c>
      <c r="F4221" s="6" t="s">
        <v>28</v>
      </c>
      <c r="G4221" s="8">
        <v>63.15</v>
      </c>
      <c r="H4221" s="6"/>
    </row>
    <row r="4222" spans="1:8">
      <c r="A4222" s="5">
        <v>4054</v>
      </c>
      <c r="B4222" s="6" t="str">
        <f>"刘星华"</f>
        <v>刘星华</v>
      </c>
      <c r="C4222" s="6" t="str">
        <f t="shared" si="194"/>
        <v>女</v>
      </c>
      <c r="D4222" s="6" t="str">
        <f>"202140042421"</f>
        <v>202140042421</v>
      </c>
      <c r="E4222" s="10" t="s">
        <v>28</v>
      </c>
      <c r="F4222" s="6" t="s">
        <v>28</v>
      </c>
      <c r="G4222" s="8">
        <v>46.25</v>
      </c>
      <c r="H4222" s="6"/>
    </row>
    <row r="4223" spans="1:8">
      <c r="A4223" s="5">
        <v>3932</v>
      </c>
      <c r="B4223" s="6" t="str">
        <f>"屈芳泽"</f>
        <v>屈芳泽</v>
      </c>
      <c r="C4223" s="6" t="str">
        <f t="shared" si="194"/>
        <v>女</v>
      </c>
      <c r="D4223" s="6" t="str">
        <f>"202140042422"</f>
        <v>202140042422</v>
      </c>
      <c r="E4223" s="10" t="s">
        <v>28</v>
      </c>
      <c r="F4223" s="6" t="s">
        <v>28</v>
      </c>
      <c r="G4223" s="8">
        <v>59.5</v>
      </c>
      <c r="H4223" s="6"/>
    </row>
    <row r="4224" spans="1:8">
      <c r="A4224" s="5">
        <v>4143</v>
      </c>
      <c r="B4224" s="6" t="str">
        <f>"黄洁"</f>
        <v>黄洁</v>
      </c>
      <c r="C4224" s="6" t="str">
        <f t="shared" si="194"/>
        <v>女</v>
      </c>
      <c r="D4224" s="6" t="str">
        <f>"202140042423"</f>
        <v>202140042423</v>
      </c>
      <c r="E4224" s="10" t="s">
        <v>28</v>
      </c>
      <c r="F4224" s="6" t="s">
        <v>28</v>
      </c>
      <c r="G4224" s="8">
        <v>0</v>
      </c>
      <c r="H4224" s="9">
        <v>1</v>
      </c>
    </row>
    <row r="4225" spans="1:8">
      <c r="A4225" s="5">
        <v>4086</v>
      </c>
      <c r="B4225" s="6" t="str">
        <f>"肖引春"</f>
        <v>肖引春</v>
      </c>
      <c r="C4225" s="6" t="str">
        <f t="shared" si="194"/>
        <v>女</v>
      </c>
      <c r="D4225" s="6" t="str">
        <f>"202140042424"</f>
        <v>202140042424</v>
      </c>
      <c r="E4225" s="10" t="s">
        <v>28</v>
      </c>
      <c r="F4225" s="6" t="s">
        <v>28</v>
      </c>
      <c r="G4225" s="8">
        <v>50.5</v>
      </c>
      <c r="H4225" s="6"/>
    </row>
    <row r="4226" spans="1:8">
      <c r="A4226" s="5">
        <v>4046</v>
      </c>
      <c r="B4226" s="6" t="str">
        <f>"唐智宜"</f>
        <v>唐智宜</v>
      </c>
      <c r="C4226" s="6" t="str">
        <f t="shared" si="194"/>
        <v>女</v>
      </c>
      <c r="D4226" s="6" t="str">
        <f>"202140042425"</f>
        <v>202140042425</v>
      </c>
      <c r="E4226" s="10" t="s">
        <v>28</v>
      </c>
      <c r="F4226" s="6" t="s">
        <v>28</v>
      </c>
      <c r="G4226" s="8">
        <v>46.8</v>
      </c>
      <c r="H4226" s="6"/>
    </row>
    <row r="4227" spans="1:8">
      <c r="A4227" s="5">
        <v>4073</v>
      </c>
      <c r="B4227" s="6" t="str">
        <f>"夏婷"</f>
        <v>夏婷</v>
      </c>
      <c r="C4227" s="6" t="str">
        <f t="shared" si="194"/>
        <v>女</v>
      </c>
      <c r="D4227" s="6" t="str">
        <f>"202140042426"</f>
        <v>202140042426</v>
      </c>
      <c r="E4227" s="10" t="s">
        <v>28</v>
      </c>
      <c r="F4227" s="6" t="s">
        <v>28</v>
      </c>
      <c r="G4227" s="8">
        <v>55.75</v>
      </c>
      <c r="H4227" s="6"/>
    </row>
    <row r="4228" spans="1:8">
      <c r="A4228" s="5">
        <v>3920</v>
      </c>
      <c r="B4228" s="6" t="str">
        <f>"罗师钰"</f>
        <v>罗师钰</v>
      </c>
      <c r="C4228" s="6" t="str">
        <f t="shared" si="194"/>
        <v>女</v>
      </c>
      <c r="D4228" s="6" t="str">
        <f>"202140042427"</f>
        <v>202140042427</v>
      </c>
      <c r="E4228" s="10" t="s">
        <v>28</v>
      </c>
      <c r="F4228" s="6" t="s">
        <v>28</v>
      </c>
      <c r="G4228" s="8">
        <v>0</v>
      </c>
      <c r="H4228" s="9">
        <v>1</v>
      </c>
    </row>
    <row r="4229" spans="1:8">
      <c r="A4229" s="5">
        <v>3988</v>
      </c>
      <c r="B4229" s="6" t="str">
        <f>"曾晨叶"</f>
        <v>曾晨叶</v>
      </c>
      <c r="C4229" s="6" t="str">
        <f t="shared" si="194"/>
        <v>女</v>
      </c>
      <c r="D4229" s="6" t="str">
        <f>"202140042428"</f>
        <v>202140042428</v>
      </c>
      <c r="E4229" s="10" t="s">
        <v>28</v>
      </c>
      <c r="F4229" s="6" t="s">
        <v>28</v>
      </c>
      <c r="G4229" s="8">
        <v>44.95</v>
      </c>
      <c r="H4229" s="6"/>
    </row>
    <row r="4230" spans="1:8">
      <c r="A4230" s="5">
        <v>3973</v>
      </c>
      <c r="B4230" s="6" t="str">
        <f>"付丽云"</f>
        <v>付丽云</v>
      </c>
      <c r="C4230" s="6" t="str">
        <f t="shared" si="194"/>
        <v>女</v>
      </c>
      <c r="D4230" s="6" t="str">
        <f>"202140042429"</f>
        <v>202140042429</v>
      </c>
      <c r="E4230" s="10" t="s">
        <v>28</v>
      </c>
      <c r="F4230" s="6" t="s">
        <v>28</v>
      </c>
      <c r="G4230" s="8">
        <v>35</v>
      </c>
      <c r="H4230" s="6"/>
    </row>
    <row r="4231" spans="1:8">
      <c r="A4231" s="5">
        <v>3997</v>
      </c>
      <c r="B4231" s="6" t="str">
        <f>"尹晓冬"</f>
        <v>尹晓冬</v>
      </c>
      <c r="C4231" s="6" t="str">
        <f t="shared" si="194"/>
        <v>女</v>
      </c>
      <c r="D4231" s="6" t="str">
        <f>"202140042430"</f>
        <v>202140042430</v>
      </c>
      <c r="E4231" s="10" t="s">
        <v>28</v>
      </c>
      <c r="F4231" s="6" t="s">
        <v>28</v>
      </c>
      <c r="G4231" s="8">
        <v>59.6</v>
      </c>
      <c r="H4231" s="6"/>
    </row>
    <row r="4232" spans="1:8">
      <c r="A4232" s="5">
        <v>4056</v>
      </c>
      <c r="B4232" s="6" t="str">
        <f>"邓春艳"</f>
        <v>邓春艳</v>
      </c>
      <c r="C4232" s="6" t="str">
        <f t="shared" si="194"/>
        <v>女</v>
      </c>
      <c r="D4232" s="6" t="str">
        <f>"202140042501"</f>
        <v>202140042501</v>
      </c>
      <c r="E4232" s="10" t="s">
        <v>28</v>
      </c>
      <c r="F4232" s="6" t="s">
        <v>28</v>
      </c>
      <c r="G4232" s="8">
        <v>60.65</v>
      </c>
      <c r="H4232" s="6"/>
    </row>
    <row r="4233" spans="1:8">
      <c r="A4233" s="5">
        <v>4140</v>
      </c>
      <c r="B4233" s="6" t="str">
        <f>"徐成佳"</f>
        <v>徐成佳</v>
      </c>
      <c r="C4233" s="6" t="str">
        <f t="shared" si="194"/>
        <v>女</v>
      </c>
      <c r="D4233" s="6" t="str">
        <f>"202140042502"</f>
        <v>202140042502</v>
      </c>
      <c r="E4233" s="10" t="s">
        <v>28</v>
      </c>
      <c r="F4233" s="6" t="s">
        <v>28</v>
      </c>
      <c r="G4233" s="8">
        <v>53.15</v>
      </c>
      <c r="H4233" s="6"/>
    </row>
    <row r="4234" spans="1:8">
      <c r="A4234" s="5">
        <v>4157</v>
      </c>
      <c r="B4234" s="6" t="str">
        <f>"肖桂花"</f>
        <v>肖桂花</v>
      </c>
      <c r="C4234" s="6" t="str">
        <f t="shared" si="194"/>
        <v>女</v>
      </c>
      <c r="D4234" s="6" t="str">
        <f>"202140042503"</f>
        <v>202140042503</v>
      </c>
      <c r="E4234" s="10" t="s">
        <v>28</v>
      </c>
      <c r="F4234" s="6" t="s">
        <v>28</v>
      </c>
      <c r="G4234" s="8">
        <v>45.85</v>
      </c>
      <c r="H4234" s="6"/>
    </row>
    <row r="4235" spans="1:8">
      <c r="A4235" s="5">
        <v>4034</v>
      </c>
      <c r="B4235" s="6" t="str">
        <f>"赵兵"</f>
        <v>赵兵</v>
      </c>
      <c r="C4235" s="6" t="str">
        <f t="shared" si="194"/>
        <v>女</v>
      </c>
      <c r="D4235" s="6" t="str">
        <f>"202140042504"</f>
        <v>202140042504</v>
      </c>
      <c r="E4235" s="10" t="s">
        <v>28</v>
      </c>
      <c r="F4235" s="6" t="s">
        <v>28</v>
      </c>
      <c r="G4235" s="8">
        <v>63.05</v>
      </c>
      <c r="H4235" s="6"/>
    </row>
    <row r="4236" spans="1:8">
      <c r="A4236" s="5">
        <v>4068</v>
      </c>
      <c r="B4236" s="6" t="str">
        <f>"冉珊珊"</f>
        <v>冉珊珊</v>
      </c>
      <c r="C4236" s="6" t="str">
        <f t="shared" si="194"/>
        <v>女</v>
      </c>
      <c r="D4236" s="6" t="str">
        <f>"202140042505"</f>
        <v>202140042505</v>
      </c>
      <c r="E4236" s="10" t="s">
        <v>28</v>
      </c>
      <c r="F4236" s="6" t="s">
        <v>28</v>
      </c>
      <c r="G4236" s="8">
        <v>68.45</v>
      </c>
      <c r="H4236" s="6"/>
    </row>
    <row r="4237" spans="1:8">
      <c r="A4237" s="5">
        <v>3956</v>
      </c>
      <c r="B4237" s="6" t="str">
        <f>"王意姣"</f>
        <v>王意姣</v>
      </c>
      <c r="C4237" s="6" t="str">
        <f t="shared" si="194"/>
        <v>女</v>
      </c>
      <c r="D4237" s="6" t="str">
        <f>"202140042506"</f>
        <v>202140042506</v>
      </c>
      <c r="E4237" s="10" t="s">
        <v>28</v>
      </c>
      <c r="F4237" s="6" t="s">
        <v>28</v>
      </c>
      <c r="G4237" s="8">
        <v>59.8</v>
      </c>
      <c r="H4237" s="6"/>
    </row>
    <row r="4238" spans="1:8">
      <c r="A4238" s="5">
        <v>4106</v>
      </c>
      <c r="B4238" s="6" t="str">
        <f>"石禄梅"</f>
        <v>石禄梅</v>
      </c>
      <c r="C4238" s="6" t="str">
        <f t="shared" si="194"/>
        <v>女</v>
      </c>
      <c r="D4238" s="6" t="str">
        <f>"202140042507"</f>
        <v>202140042507</v>
      </c>
      <c r="E4238" s="10" t="s">
        <v>28</v>
      </c>
      <c r="F4238" s="6" t="s">
        <v>28</v>
      </c>
      <c r="G4238" s="8">
        <v>60.1</v>
      </c>
      <c r="H4238" s="6"/>
    </row>
    <row r="4239" spans="1:8">
      <c r="A4239" s="5">
        <v>4066</v>
      </c>
      <c r="B4239" s="6" t="str">
        <f>"龙辰美"</f>
        <v>龙辰美</v>
      </c>
      <c r="C4239" s="6" t="str">
        <f t="shared" si="194"/>
        <v>女</v>
      </c>
      <c r="D4239" s="6" t="str">
        <f>"202140042508"</f>
        <v>202140042508</v>
      </c>
      <c r="E4239" s="10" t="s">
        <v>28</v>
      </c>
      <c r="F4239" s="6" t="s">
        <v>28</v>
      </c>
      <c r="G4239" s="8">
        <v>48.2</v>
      </c>
      <c r="H4239" s="6"/>
    </row>
    <row r="4240" spans="1:8">
      <c r="A4240" s="5">
        <v>4028</v>
      </c>
      <c r="B4240" s="6" t="str">
        <f>"戴玄"</f>
        <v>戴玄</v>
      </c>
      <c r="C4240" s="6" t="str">
        <f t="shared" si="194"/>
        <v>女</v>
      </c>
      <c r="D4240" s="6" t="str">
        <f>"202140042509"</f>
        <v>202140042509</v>
      </c>
      <c r="E4240" s="10" t="s">
        <v>28</v>
      </c>
      <c r="F4240" s="6" t="s">
        <v>28</v>
      </c>
      <c r="G4240" s="8">
        <v>51.15</v>
      </c>
      <c r="H4240" s="6"/>
    </row>
    <row r="4241" spans="1:8">
      <c r="A4241" s="5">
        <v>3999</v>
      </c>
      <c r="B4241" s="6" t="str">
        <f>"伍芬芬"</f>
        <v>伍芬芬</v>
      </c>
      <c r="C4241" s="6" t="str">
        <f t="shared" si="194"/>
        <v>女</v>
      </c>
      <c r="D4241" s="6" t="str">
        <f>"202140042510"</f>
        <v>202140042510</v>
      </c>
      <c r="E4241" s="10" t="s">
        <v>28</v>
      </c>
      <c r="F4241" s="6" t="s">
        <v>28</v>
      </c>
      <c r="G4241" s="8">
        <v>60.55</v>
      </c>
      <c r="H4241" s="6"/>
    </row>
    <row r="4242" spans="1:8">
      <c r="A4242" s="5">
        <v>4161</v>
      </c>
      <c r="B4242" s="6" t="str">
        <f>"孟雪凡"</f>
        <v>孟雪凡</v>
      </c>
      <c r="C4242" s="6" t="str">
        <f t="shared" ref="C4242:C4273" si="195">"女"</f>
        <v>女</v>
      </c>
      <c r="D4242" s="6" t="str">
        <f>"202140042511"</f>
        <v>202140042511</v>
      </c>
      <c r="E4242" s="10" t="s">
        <v>28</v>
      </c>
      <c r="F4242" s="6" t="s">
        <v>28</v>
      </c>
      <c r="G4242" s="8">
        <v>67.099999999999994</v>
      </c>
      <c r="H4242" s="6"/>
    </row>
    <row r="4243" spans="1:8">
      <c r="A4243" s="5">
        <v>3971</v>
      </c>
      <c r="B4243" s="6" t="str">
        <f>"刘雨"</f>
        <v>刘雨</v>
      </c>
      <c r="C4243" s="6" t="str">
        <f t="shared" si="195"/>
        <v>女</v>
      </c>
      <c r="D4243" s="6" t="str">
        <f>"202140042512"</f>
        <v>202140042512</v>
      </c>
      <c r="E4243" s="10" t="s">
        <v>28</v>
      </c>
      <c r="F4243" s="6" t="s">
        <v>28</v>
      </c>
      <c r="G4243" s="8">
        <v>45.7</v>
      </c>
      <c r="H4243" s="6"/>
    </row>
    <row r="4244" spans="1:8">
      <c r="A4244" s="5">
        <v>3943</v>
      </c>
      <c r="B4244" s="6" t="str">
        <f>"伍文芳"</f>
        <v>伍文芳</v>
      </c>
      <c r="C4244" s="6" t="str">
        <f t="shared" si="195"/>
        <v>女</v>
      </c>
      <c r="D4244" s="6" t="str">
        <f>"202140042513"</f>
        <v>202140042513</v>
      </c>
      <c r="E4244" s="10" t="s">
        <v>28</v>
      </c>
      <c r="F4244" s="6" t="s">
        <v>28</v>
      </c>
      <c r="G4244" s="8">
        <v>0</v>
      </c>
      <c r="H4244" s="9">
        <v>1</v>
      </c>
    </row>
    <row r="4245" spans="1:8">
      <c r="A4245" s="5">
        <v>4141</v>
      </c>
      <c r="B4245" s="6" t="str">
        <f>"李梦萍"</f>
        <v>李梦萍</v>
      </c>
      <c r="C4245" s="6" t="str">
        <f t="shared" si="195"/>
        <v>女</v>
      </c>
      <c r="D4245" s="6" t="str">
        <f>"202140042514"</f>
        <v>202140042514</v>
      </c>
      <c r="E4245" s="10" t="s">
        <v>28</v>
      </c>
      <c r="F4245" s="6" t="s">
        <v>28</v>
      </c>
      <c r="G4245" s="8">
        <v>53.55</v>
      </c>
      <c r="H4245" s="6"/>
    </row>
    <row r="4246" spans="1:8">
      <c r="A4246" s="5">
        <v>4050</v>
      </c>
      <c r="B4246" s="6" t="str">
        <f>"陈莉媛"</f>
        <v>陈莉媛</v>
      </c>
      <c r="C4246" s="6" t="str">
        <f t="shared" si="195"/>
        <v>女</v>
      </c>
      <c r="D4246" s="6" t="str">
        <f>"202140042515"</f>
        <v>202140042515</v>
      </c>
      <c r="E4246" s="10" t="s">
        <v>28</v>
      </c>
      <c r="F4246" s="6" t="s">
        <v>28</v>
      </c>
      <c r="G4246" s="8">
        <v>66.5</v>
      </c>
      <c r="H4246" s="6"/>
    </row>
    <row r="4247" spans="1:8">
      <c r="A4247" s="5">
        <v>3941</v>
      </c>
      <c r="B4247" s="6" t="str">
        <f>"彭慧"</f>
        <v>彭慧</v>
      </c>
      <c r="C4247" s="6" t="str">
        <f t="shared" si="195"/>
        <v>女</v>
      </c>
      <c r="D4247" s="6" t="str">
        <f>"202140042516"</f>
        <v>202140042516</v>
      </c>
      <c r="E4247" s="10" t="s">
        <v>28</v>
      </c>
      <c r="F4247" s="6" t="s">
        <v>28</v>
      </c>
      <c r="G4247" s="8">
        <v>0</v>
      </c>
      <c r="H4247" s="9">
        <v>1</v>
      </c>
    </row>
    <row r="4248" spans="1:8">
      <c r="A4248" s="5">
        <v>4162</v>
      </c>
      <c r="B4248" s="6" t="str">
        <f>"彭淑君"</f>
        <v>彭淑君</v>
      </c>
      <c r="C4248" s="6" t="str">
        <f t="shared" si="195"/>
        <v>女</v>
      </c>
      <c r="D4248" s="6" t="str">
        <f>"202140042517"</f>
        <v>202140042517</v>
      </c>
      <c r="E4248" s="10" t="s">
        <v>28</v>
      </c>
      <c r="F4248" s="6" t="s">
        <v>28</v>
      </c>
      <c r="G4248" s="8">
        <v>59.1</v>
      </c>
      <c r="H4248" s="6"/>
    </row>
    <row r="4249" spans="1:8">
      <c r="A4249" s="5">
        <v>4169</v>
      </c>
      <c r="B4249" s="6" t="str">
        <f>"邓央央"</f>
        <v>邓央央</v>
      </c>
      <c r="C4249" s="6" t="str">
        <f t="shared" si="195"/>
        <v>女</v>
      </c>
      <c r="D4249" s="6" t="str">
        <f>"202140042518"</f>
        <v>202140042518</v>
      </c>
      <c r="E4249" s="10" t="s">
        <v>28</v>
      </c>
      <c r="F4249" s="6" t="s">
        <v>28</v>
      </c>
      <c r="G4249" s="8">
        <v>55.25</v>
      </c>
      <c r="H4249" s="6"/>
    </row>
    <row r="4250" spans="1:8">
      <c r="A4250" s="5">
        <v>3975</v>
      </c>
      <c r="B4250" s="6" t="str">
        <f>"刘影娟"</f>
        <v>刘影娟</v>
      </c>
      <c r="C4250" s="6" t="str">
        <f t="shared" si="195"/>
        <v>女</v>
      </c>
      <c r="D4250" s="6" t="str">
        <f>"202140042519"</f>
        <v>202140042519</v>
      </c>
      <c r="E4250" s="10" t="s">
        <v>28</v>
      </c>
      <c r="F4250" s="6" t="s">
        <v>28</v>
      </c>
      <c r="G4250" s="8">
        <v>64.599999999999994</v>
      </c>
      <c r="H4250" s="6"/>
    </row>
    <row r="4251" spans="1:8">
      <c r="A4251" s="5">
        <v>4031</v>
      </c>
      <c r="B4251" s="6" t="str">
        <f>"张小桃"</f>
        <v>张小桃</v>
      </c>
      <c r="C4251" s="6" t="str">
        <f t="shared" si="195"/>
        <v>女</v>
      </c>
      <c r="D4251" s="6" t="str">
        <f>"202140042520"</f>
        <v>202140042520</v>
      </c>
      <c r="E4251" s="10" t="s">
        <v>28</v>
      </c>
      <c r="F4251" s="6" t="s">
        <v>28</v>
      </c>
      <c r="G4251" s="8">
        <v>68.45</v>
      </c>
      <c r="H4251" s="6"/>
    </row>
    <row r="4252" spans="1:8">
      <c r="A4252" s="5">
        <v>4138</v>
      </c>
      <c r="B4252" s="6" t="str">
        <f>"刘振玉"</f>
        <v>刘振玉</v>
      </c>
      <c r="C4252" s="6" t="str">
        <f t="shared" si="195"/>
        <v>女</v>
      </c>
      <c r="D4252" s="6" t="str">
        <f>"202140042521"</f>
        <v>202140042521</v>
      </c>
      <c r="E4252" s="10" t="s">
        <v>28</v>
      </c>
      <c r="F4252" s="6" t="s">
        <v>28</v>
      </c>
      <c r="G4252" s="8">
        <v>67.099999999999994</v>
      </c>
      <c r="H4252" s="6"/>
    </row>
    <row r="4253" spans="1:8">
      <c r="A4253" s="5">
        <v>3960</v>
      </c>
      <c r="B4253" s="6" t="str">
        <f>"李娜"</f>
        <v>李娜</v>
      </c>
      <c r="C4253" s="6" t="str">
        <f t="shared" si="195"/>
        <v>女</v>
      </c>
      <c r="D4253" s="6" t="str">
        <f>"202140042522"</f>
        <v>202140042522</v>
      </c>
      <c r="E4253" s="10" t="s">
        <v>28</v>
      </c>
      <c r="F4253" s="6" t="s">
        <v>28</v>
      </c>
      <c r="G4253" s="8">
        <v>44.65</v>
      </c>
      <c r="H4253" s="6"/>
    </row>
    <row r="4254" spans="1:8">
      <c r="A4254" s="5">
        <v>3976</v>
      </c>
      <c r="B4254" s="6" t="str">
        <f>"姚停叶"</f>
        <v>姚停叶</v>
      </c>
      <c r="C4254" s="6" t="str">
        <f t="shared" si="195"/>
        <v>女</v>
      </c>
      <c r="D4254" s="6" t="str">
        <f>"202140042523"</f>
        <v>202140042523</v>
      </c>
      <c r="E4254" s="10" t="s">
        <v>28</v>
      </c>
      <c r="F4254" s="6" t="s">
        <v>28</v>
      </c>
      <c r="G4254" s="8">
        <v>65.099999999999994</v>
      </c>
      <c r="H4254" s="6"/>
    </row>
    <row r="4255" spans="1:8">
      <c r="A4255" s="5">
        <v>3993</v>
      </c>
      <c r="B4255" s="6" t="str">
        <f>"姚瑶"</f>
        <v>姚瑶</v>
      </c>
      <c r="C4255" s="6" t="str">
        <f t="shared" si="195"/>
        <v>女</v>
      </c>
      <c r="D4255" s="6" t="str">
        <f>"202140042524"</f>
        <v>202140042524</v>
      </c>
      <c r="E4255" s="10" t="s">
        <v>28</v>
      </c>
      <c r="F4255" s="6" t="s">
        <v>28</v>
      </c>
      <c r="G4255" s="8">
        <v>44.8</v>
      </c>
      <c r="H4255" s="6"/>
    </row>
    <row r="4256" spans="1:8">
      <c r="A4256" s="5">
        <v>4051</v>
      </c>
      <c r="B4256" s="6" t="str">
        <f>"覃铁莲"</f>
        <v>覃铁莲</v>
      </c>
      <c r="C4256" s="6" t="str">
        <f t="shared" si="195"/>
        <v>女</v>
      </c>
      <c r="D4256" s="6" t="str">
        <f>"202140042525"</f>
        <v>202140042525</v>
      </c>
      <c r="E4256" s="10" t="s">
        <v>28</v>
      </c>
      <c r="F4256" s="6" t="s">
        <v>28</v>
      </c>
      <c r="G4256" s="8">
        <v>53.65</v>
      </c>
      <c r="H4256" s="6"/>
    </row>
    <row r="4257" spans="1:8">
      <c r="A4257" s="5">
        <v>4165</v>
      </c>
      <c r="B4257" s="6" t="str">
        <f>"李小云"</f>
        <v>李小云</v>
      </c>
      <c r="C4257" s="6" t="str">
        <f t="shared" si="195"/>
        <v>女</v>
      </c>
      <c r="D4257" s="6" t="str">
        <f>"202140042526"</f>
        <v>202140042526</v>
      </c>
      <c r="E4257" s="10" t="s">
        <v>28</v>
      </c>
      <c r="F4257" s="6" t="s">
        <v>28</v>
      </c>
      <c r="G4257" s="8">
        <v>0</v>
      </c>
      <c r="H4257" s="9">
        <v>1</v>
      </c>
    </row>
    <row r="4258" spans="1:8">
      <c r="A4258" s="5">
        <v>4192</v>
      </c>
      <c r="B4258" s="6" t="str">
        <f>"刘冬冬"</f>
        <v>刘冬冬</v>
      </c>
      <c r="C4258" s="6" t="str">
        <f t="shared" si="195"/>
        <v>女</v>
      </c>
      <c r="D4258" s="6" t="str">
        <f>"202140042527"</f>
        <v>202140042527</v>
      </c>
      <c r="E4258" s="10" t="s">
        <v>28</v>
      </c>
      <c r="F4258" s="6" t="s">
        <v>28</v>
      </c>
      <c r="G4258" s="8">
        <v>71.900000000000006</v>
      </c>
      <c r="H4258" s="6"/>
    </row>
    <row r="4259" spans="1:8">
      <c r="A4259" s="5">
        <v>4160</v>
      </c>
      <c r="B4259" s="6" t="str">
        <f>"陈慧"</f>
        <v>陈慧</v>
      </c>
      <c r="C4259" s="6" t="str">
        <f t="shared" si="195"/>
        <v>女</v>
      </c>
      <c r="D4259" s="6" t="str">
        <f>"202140042528"</f>
        <v>202140042528</v>
      </c>
      <c r="E4259" s="10" t="s">
        <v>28</v>
      </c>
      <c r="F4259" s="6" t="s">
        <v>28</v>
      </c>
      <c r="G4259" s="8">
        <v>67.849999999999994</v>
      </c>
      <c r="H4259" s="6"/>
    </row>
    <row r="4260" spans="1:8">
      <c r="A4260" s="5">
        <v>4007</v>
      </c>
      <c r="B4260" s="6" t="str">
        <f>"张慧"</f>
        <v>张慧</v>
      </c>
      <c r="C4260" s="6" t="str">
        <f t="shared" si="195"/>
        <v>女</v>
      </c>
      <c r="D4260" s="6" t="str">
        <f>"202140042529"</f>
        <v>202140042529</v>
      </c>
      <c r="E4260" s="10" t="s">
        <v>28</v>
      </c>
      <c r="F4260" s="6" t="s">
        <v>28</v>
      </c>
      <c r="G4260" s="8">
        <v>73.349999999999994</v>
      </c>
      <c r="H4260" s="6"/>
    </row>
    <row r="4261" spans="1:8">
      <c r="A4261" s="5">
        <v>3916</v>
      </c>
      <c r="B4261" s="6" t="str">
        <f>"罗笑"</f>
        <v>罗笑</v>
      </c>
      <c r="C4261" s="6" t="str">
        <f t="shared" si="195"/>
        <v>女</v>
      </c>
      <c r="D4261" s="6" t="str">
        <f>"202140042530"</f>
        <v>202140042530</v>
      </c>
      <c r="E4261" s="10" t="s">
        <v>28</v>
      </c>
      <c r="F4261" s="6" t="s">
        <v>28</v>
      </c>
      <c r="G4261" s="8">
        <v>0</v>
      </c>
      <c r="H4261" s="9">
        <v>1</v>
      </c>
    </row>
    <row r="4262" spans="1:8">
      <c r="A4262" s="5">
        <v>4047</v>
      </c>
      <c r="B4262" s="6" t="str">
        <f>"蔡祯"</f>
        <v>蔡祯</v>
      </c>
      <c r="C4262" s="6" t="str">
        <f t="shared" si="195"/>
        <v>女</v>
      </c>
      <c r="D4262" s="6" t="str">
        <f>"202140042601"</f>
        <v>202140042601</v>
      </c>
      <c r="E4262" s="10" t="s">
        <v>28</v>
      </c>
      <c r="F4262" s="6" t="s">
        <v>28</v>
      </c>
      <c r="G4262" s="8">
        <v>60.9</v>
      </c>
      <c r="H4262" s="6"/>
    </row>
    <row r="4263" spans="1:8">
      <c r="A4263" s="5">
        <v>3918</v>
      </c>
      <c r="B4263" s="6" t="str">
        <f>"肖园"</f>
        <v>肖园</v>
      </c>
      <c r="C4263" s="6" t="str">
        <f t="shared" si="195"/>
        <v>女</v>
      </c>
      <c r="D4263" s="6" t="str">
        <f>"202140042602"</f>
        <v>202140042602</v>
      </c>
      <c r="E4263" s="10" t="s">
        <v>28</v>
      </c>
      <c r="F4263" s="6" t="s">
        <v>28</v>
      </c>
      <c r="G4263" s="8">
        <v>0</v>
      </c>
      <c r="H4263" s="9">
        <v>1</v>
      </c>
    </row>
    <row r="4264" spans="1:8">
      <c r="A4264" s="5">
        <v>3955</v>
      </c>
      <c r="B4264" s="6" t="str">
        <f>"陈妍"</f>
        <v>陈妍</v>
      </c>
      <c r="C4264" s="6" t="str">
        <f t="shared" si="195"/>
        <v>女</v>
      </c>
      <c r="D4264" s="6" t="str">
        <f>"202140042603"</f>
        <v>202140042603</v>
      </c>
      <c r="E4264" s="10" t="s">
        <v>28</v>
      </c>
      <c r="F4264" s="6" t="s">
        <v>28</v>
      </c>
      <c r="G4264" s="8">
        <v>37.200000000000003</v>
      </c>
      <c r="H4264" s="6"/>
    </row>
    <row r="4265" spans="1:8">
      <c r="A4265" s="5">
        <v>4091</v>
      </c>
      <c r="B4265" s="6" t="str">
        <f>"张晶静"</f>
        <v>张晶静</v>
      </c>
      <c r="C4265" s="6" t="str">
        <f t="shared" si="195"/>
        <v>女</v>
      </c>
      <c r="D4265" s="6" t="str">
        <f>"202140042604"</f>
        <v>202140042604</v>
      </c>
      <c r="E4265" s="10" t="s">
        <v>28</v>
      </c>
      <c r="F4265" s="6" t="s">
        <v>28</v>
      </c>
      <c r="G4265" s="8">
        <v>0</v>
      </c>
      <c r="H4265" s="9">
        <v>1</v>
      </c>
    </row>
    <row r="4266" spans="1:8">
      <c r="A4266" s="5">
        <v>4071</v>
      </c>
      <c r="B4266" s="6" t="str">
        <f>"陈芳菲"</f>
        <v>陈芳菲</v>
      </c>
      <c r="C4266" s="6" t="str">
        <f t="shared" si="195"/>
        <v>女</v>
      </c>
      <c r="D4266" s="6" t="str">
        <f>"202140042605"</f>
        <v>202140042605</v>
      </c>
      <c r="E4266" s="10" t="s">
        <v>28</v>
      </c>
      <c r="F4266" s="6" t="s">
        <v>28</v>
      </c>
      <c r="G4266" s="8">
        <v>57.15</v>
      </c>
      <c r="H4266" s="6"/>
    </row>
    <row r="4267" spans="1:8">
      <c r="A4267" s="5">
        <v>3913</v>
      </c>
      <c r="B4267" s="6" t="str">
        <f>"欧长红"</f>
        <v>欧长红</v>
      </c>
      <c r="C4267" s="6" t="str">
        <f t="shared" si="195"/>
        <v>女</v>
      </c>
      <c r="D4267" s="6" t="str">
        <f>"202140042606"</f>
        <v>202140042606</v>
      </c>
      <c r="E4267" s="10" t="s">
        <v>28</v>
      </c>
      <c r="F4267" s="6" t="s">
        <v>28</v>
      </c>
      <c r="G4267" s="8">
        <v>74.400000000000006</v>
      </c>
      <c r="H4267" s="6"/>
    </row>
    <row r="4268" spans="1:8">
      <c r="A4268" s="5">
        <v>4152</v>
      </c>
      <c r="B4268" s="6" t="str">
        <f>"卢苑"</f>
        <v>卢苑</v>
      </c>
      <c r="C4268" s="6" t="str">
        <f t="shared" si="195"/>
        <v>女</v>
      </c>
      <c r="D4268" s="6" t="str">
        <f>"202140042607"</f>
        <v>202140042607</v>
      </c>
      <c r="E4268" s="10" t="s">
        <v>28</v>
      </c>
      <c r="F4268" s="6" t="s">
        <v>28</v>
      </c>
      <c r="G4268" s="8">
        <v>0</v>
      </c>
      <c r="H4268" s="9">
        <v>1</v>
      </c>
    </row>
    <row r="4269" spans="1:8">
      <c r="A4269" s="5">
        <v>3991</v>
      </c>
      <c r="B4269" s="6" t="str">
        <f>"钱锦丹"</f>
        <v>钱锦丹</v>
      </c>
      <c r="C4269" s="6" t="str">
        <f t="shared" si="195"/>
        <v>女</v>
      </c>
      <c r="D4269" s="6" t="str">
        <f>"202140042608"</f>
        <v>202140042608</v>
      </c>
      <c r="E4269" s="10" t="s">
        <v>28</v>
      </c>
      <c r="F4269" s="6" t="s">
        <v>28</v>
      </c>
      <c r="G4269" s="8">
        <v>57.45</v>
      </c>
      <c r="H4269" s="6"/>
    </row>
    <row r="4270" spans="1:8">
      <c r="A4270" s="5">
        <v>4032</v>
      </c>
      <c r="B4270" s="6" t="str">
        <f>"唐小青"</f>
        <v>唐小青</v>
      </c>
      <c r="C4270" s="6" t="str">
        <f t="shared" si="195"/>
        <v>女</v>
      </c>
      <c r="D4270" s="6" t="str">
        <f>"202140042609"</f>
        <v>202140042609</v>
      </c>
      <c r="E4270" s="10" t="s">
        <v>28</v>
      </c>
      <c r="F4270" s="6" t="s">
        <v>28</v>
      </c>
      <c r="G4270" s="8">
        <v>55</v>
      </c>
      <c r="H4270" s="6"/>
    </row>
    <row r="4271" spans="1:8">
      <c r="A4271" s="5">
        <v>3984</v>
      </c>
      <c r="B4271" s="6" t="str">
        <f>"王莹"</f>
        <v>王莹</v>
      </c>
      <c r="C4271" s="6" t="str">
        <f t="shared" si="195"/>
        <v>女</v>
      </c>
      <c r="D4271" s="6" t="str">
        <f>"202140042610"</f>
        <v>202140042610</v>
      </c>
      <c r="E4271" s="10" t="s">
        <v>28</v>
      </c>
      <c r="F4271" s="6" t="s">
        <v>28</v>
      </c>
      <c r="G4271" s="8">
        <v>43.5</v>
      </c>
      <c r="H4271" s="6"/>
    </row>
    <row r="4272" spans="1:8">
      <c r="A4272" s="5">
        <v>4024</v>
      </c>
      <c r="B4272" s="6" t="str">
        <f>"周韶雨"</f>
        <v>周韶雨</v>
      </c>
      <c r="C4272" s="6" t="str">
        <f t="shared" si="195"/>
        <v>女</v>
      </c>
      <c r="D4272" s="6" t="str">
        <f>"202140042611"</f>
        <v>202140042611</v>
      </c>
      <c r="E4272" s="10" t="s">
        <v>28</v>
      </c>
      <c r="F4272" s="6" t="s">
        <v>28</v>
      </c>
      <c r="G4272" s="8">
        <v>68.099999999999994</v>
      </c>
      <c r="H4272" s="6"/>
    </row>
    <row r="4273" spans="1:8">
      <c r="A4273" s="5">
        <v>4186</v>
      </c>
      <c r="B4273" s="6" t="str">
        <f>"屈锦婷"</f>
        <v>屈锦婷</v>
      </c>
      <c r="C4273" s="6" t="str">
        <f t="shared" si="195"/>
        <v>女</v>
      </c>
      <c r="D4273" s="6" t="str">
        <f>"202140042612"</f>
        <v>202140042612</v>
      </c>
      <c r="E4273" s="10" t="s">
        <v>28</v>
      </c>
      <c r="F4273" s="6" t="s">
        <v>28</v>
      </c>
      <c r="G4273" s="8">
        <v>52.6</v>
      </c>
      <c r="H4273" s="6"/>
    </row>
    <row r="4274" spans="1:8">
      <c r="A4274" s="5">
        <v>4134</v>
      </c>
      <c r="B4274" s="6" t="str">
        <f>"范丁霞"</f>
        <v>范丁霞</v>
      </c>
      <c r="C4274" s="6" t="str">
        <f t="shared" ref="C4274:C4290" si="196">"女"</f>
        <v>女</v>
      </c>
      <c r="D4274" s="6" t="str">
        <f>"202140042613"</f>
        <v>202140042613</v>
      </c>
      <c r="E4274" s="10" t="s">
        <v>28</v>
      </c>
      <c r="F4274" s="6" t="s">
        <v>28</v>
      </c>
      <c r="G4274" s="8">
        <v>45.4</v>
      </c>
      <c r="H4274" s="6"/>
    </row>
    <row r="4275" spans="1:8">
      <c r="A4275" s="5">
        <v>4170</v>
      </c>
      <c r="B4275" s="6" t="str">
        <f>"刘青和"</f>
        <v>刘青和</v>
      </c>
      <c r="C4275" s="6" t="str">
        <f t="shared" si="196"/>
        <v>女</v>
      </c>
      <c r="D4275" s="6" t="str">
        <f>"202140042614"</f>
        <v>202140042614</v>
      </c>
      <c r="E4275" s="10" t="s">
        <v>28</v>
      </c>
      <c r="F4275" s="6" t="s">
        <v>28</v>
      </c>
      <c r="G4275" s="8">
        <v>48.75</v>
      </c>
      <c r="H4275" s="6"/>
    </row>
    <row r="4276" spans="1:8">
      <c r="A4276" s="5">
        <v>3917</v>
      </c>
      <c r="B4276" s="6" t="str">
        <f>"宋晓雪"</f>
        <v>宋晓雪</v>
      </c>
      <c r="C4276" s="6" t="str">
        <f t="shared" si="196"/>
        <v>女</v>
      </c>
      <c r="D4276" s="6" t="str">
        <f>"202140042615"</f>
        <v>202140042615</v>
      </c>
      <c r="E4276" s="10" t="s">
        <v>28</v>
      </c>
      <c r="F4276" s="6" t="s">
        <v>28</v>
      </c>
      <c r="G4276" s="8">
        <v>0</v>
      </c>
      <c r="H4276" s="9">
        <v>1</v>
      </c>
    </row>
    <row r="4277" spans="1:8">
      <c r="A4277" s="5">
        <v>4080</v>
      </c>
      <c r="B4277" s="6" t="str">
        <f>"易燕敏"</f>
        <v>易燕敏</v>
      </c>
      <c r="C4277" s="6" t="str">
        <f t="shared" si="196"/>
        <v>女</v>
      </c>
      <c r="D4277" s="6" t="str">
        <f>"202140042616"</f>
        <v>202140042616</v>
      </c>
      <c r="E4277" s="10" t="s">
        <v>28</v>
      </c>
      <c r="F4277" s="6" t="s">
        <v>28</v>
      </c>
      <c r="G4277" s="8">
        <v>47</v>
      </c>
      <c r="H4277" s="6"/>
    </row>
    <row r="4278" spans="1:8">
      <c r="A4278" s="5">
        <v>4181</v>
      </c>
      <c r="B4278" s="6" t="str">
        <f>"彭容荣"</f>
        <v>彭容荣</v>
      </c>
      <c r="C4278" s="6" t="str">
        <f t="shared" si="196"/>
        <v>女</v>
      </c>
      <c r="D4278" s="6" t="str">
        <f>"202140042617"</f>
        <v>202140042617</v>
      </c>
      <c r="E4278" s="10" t="s">
        <v>28</v>
      </c>
      <c r="F4278" s="6" t="s">
        <v>28</v>
      </c>
      <c r="G4278" s="8">
        <v>62.25</v>
      </c>
      <c r="H4278" s="6"/>
    </row>
    <row r="4279" spans="1:8">
      <c r="A4279" s="5">
        <v>4001</v>
      </c>
      <c r="B4279" s="6" t="str">
        <f>"尹静霞"</f>
        <v>尹静霞</v>
      </c>
      <c r="C4279" s="6" t="str">
        <f t="shared" si="196"/>
        <v>女</v>
      </c>
      <c r="D4279" s="6" t="str">
        <f>"202140042618"</f>
        <v>202140042618</v>
      </c>
      <c r="E4279" s="10" t="s">
        <v>28</v>
      </c>
      <c r="F4279" s="6" t="s">
        <v>28</v>
      </c>
      <c r="G4279" s="8">
        <v>47.8</v>
      </c>
      <c r="H4279" s="6"/>
    </row>
    <row r="4280" spans="1:8">
      <c r="A4280" s="5">
        <v>4104</v>
      </c>
      <c r="B4280" s="6" t="str">
        <f>"袁东霞"</f>
        <v>袁东霞</v>
      </c>
      <c r="C4280" s="6" t="str">
        <f t="shared" si="196"/>
        <v>女</v>
      </c>
      <c r="D4280" s="6" t="str">
        <f>"202140042619"</f>
        <v>202140042619</v>
      </c>
      <c r="E4280" s="10" t="s">
        <v>28</v>
      </c>
      <c r="F4280" s="6" t="s">
        <v>28</v>
      </c>
      <c r="G4280" s="8">
        <v>55.65</v>
      </c>
      <c r="H4280" s="6"/>
    </row>
    <row r="4281" spans="1:8">
      <c r="A4281" s="5">
        <v>4070</v>
      </c>
      <c r="B4281" s="6" t="str">
        <f>"欧阳庆玮"</f>
        <v>欧阳庆玮</v>
      </c>
      <c r="C4281" s="6" t="str">
        <f t="shared" si="196"/>
        <v>女</v>
      </c>
      <c r="D4281" s="6" t="str">
        <f>"202140042620"</f>
        <v>202140042620</v>
      </c>
      <c r="E4281" s="10" t="s">
        <v>28</v>
      </c>
      <c r="F4281" s="6" t="s">
        <v>28</v>
      </c>
      <c r="G4281" s="8">
        <v>72.55</v>
      </c>
      <c r="H4281" s="6"/>
    </row>
    <row r="4282" spans="1:8">
      <c r="A4282" s="5">
        <v>3996</v>
      </c>
      <c r="B4282" s="6" t="str">
        <f>"张静"</f>
        <v>张静</v>
      </c>
      <c r="C4282" s="6" t="str">
        <f t="shared" si="196"/>
        <v>女</v>
      </c>
      <c r="D4282" s="6" t="str">
        <f>"202140042621"</f>
        <v>202140042621</v>
      </c>
      <c r="E4282" s="10" t="s">
        <v>28</v>
      </c>
      <c r="F4282" s="6" t="s">
        <v>28</v>
      </c>
      <c r="G4282" s="8">
        <v>0</v>
      </c>
      <c r="H4282" s="9">
        <v>1</v>
      </c>
    </row>
    <row r="4283" spans="1:8">
      <c r="A4283" s="5">
        <v>4079</v>
      </c>
      <c r="B4283" s="6" t="str">
        <f>"肖慧媚"</f>
        <v>肖慧媚</v>
      </c>
      <c r="C4283" s="6" t="str">
        <f t="shared" si="196"/>
        <v>女</v>
      </c>
      <c r="D4283" s="6" t="str">
        <f>"202140042622"</f>
        <v>202140042622</v>
      </c>
      <c r="E4283" s="10" t="s">
        <v>28</v>
      </c>
      <c r="F4283" s="6" t="s">
        <v>28</v>
      </c>
      <c r="G4283" s="8">
        <v>56.05</v>
      </c>
      <c r="H4283" s="6"/>
    </row>
    <row r="4284" spans="1:8">
      <c r="A4284" s="5">
        <v>3953</v>
      </c>
      <c r="B4284" s="6" t="str">
        <f>"李艳媚"</f>
        <v>李艳媚</v>
      </c>
      <c r="C4284" s="6" t="str">
        <f t="shared" si="196"/>
        <v>女</v>
      </c>
      <c r="D4284" s="6" t="str">
        <f>"202140042623"</f>
        <v>202140042623</v>
      </c>
      <c r="E4284" s="10" t="s">
        <v>28</v>
      </c>
      <c r="F4284" s="6" t="s">
        <v>28</v>
      </c>
      <c r="G4284" s="8">
        <v>57.35</v>
      </c>
      <c r="H4284" s="6"/>
    </row>
    <row r="4285" spans="1:8">
      <c r="A4285" s="5">
        <v>4035</v>
      </c>
      <c r="B4285" s="6" t="str">
        <f>"邓清"</f>
        <v>邓清</v>
      </c>
      <c r="C4285" s="6" t="str">
        <f t="shared" si="196"/>
        <v>女</v>
      </c>
      <c r="D4285" s="6" t="str">
        <f>"202140042624"</f>
        <v>202140042624</v>
      </c>
      <c r="E4285" s="10" t="s">
        <v>28</v>
      </c>
      <c r="F4285" s="6" t="s">
        <v>28</v>
      </c>
      <c r="G4285" s="8">
        <v>53.4</v>
      </c>
      <c r="H4285" s="6"/>
    </row>
    <row r="4286" spans="1:8">
      <c r="A4286" s="5">
        <v>4164</v>
      </c>
      <c r="B4286" s="6" t="str">
        <f>"张楚怡"</f>
        <v>张楚怡</v>
      </c>
      <c r="C4286" s="6" t="str">
        <f t="shared" si="196"/>
        <v>女</v>
      </c>
      <c r="D4286" s="6" t="str">
        <f>"202140042625"</f>
        <v>202140042625</v>
      </c>
      <c r="E4286" s="10" t="s">
        <v>28</v>
      </c>
      <c r="F4286" s="6" t="s">
        <v>28</v>
      </c>
      <c r="G4286" s="8">
        <v>59.3</v>
      </c>
      <c r="H4286" s="6"/>
    </row>
    <row r="4287" spans="1:8">
      <c r="A4287" s="5">
        <v>4133</v>
      </c>
      <c r="B4287" s="6" t="str">
        <f>"宁艳"</f>
        <v>宁艳</v>
      </c>
      <c r="C4287" s="6" t="str">
        <f t="shared" si="196"/>
        <v>女</v>
      </c>
      <c r="D4287" s="6" t="str">
        <f>"202140042626"</f>
        <v>202140042626</v>
      </c>
      <c r="E4287" s="10" t="s">
        <v>28</v>
      </c>
      <c r="F4287" s="6" t="s">
        <v>28</v>
      </c>
      <c r="G4287" s="8">
        <v>60.95</v>
      </c>
      <c r="H4287" s="6"/>
    </row>
    <row r="4288" spans="1:8">
      <c r="A4288" s="5">
        <v>4150</v>
      </c>
      <c r="B4288" s="6" t="str">
        <f>"赵远洁"</f>
        <v>赵远洁</v>
      </c>
      <c r="C4288" s="6" t="str">
        <f t="shared" si="196"/>
        <v>女</v>
      </c>
      <c r="D4288" s="6" t="str">
        <f>"202140042627"</f>
        <v>202140042627</v>
      </c>
      <c r="E4288" s="10" t="s">
        <v>28</v>
      </c>
      <c r="F4288" s="6" t="s">
        <v>28</v>
      </c>
      <c r="G4288" s="8">
        <v>57.75</v>
      </c>
      <c r="H4288" s="6"/>
    </row>
    <row r="4289" spans="1:8">
      <c r="A4289" s="5">
        <v>3934</v>
      </c>
      <c r="B4289" s="6" t="str">
        <f>"李亚兰"</f>
        <v>李亚兰</v>
      </c>
      <c r="C4289" s="6" t="str">
        <f t="shared" si="196"/>
        <v>女</v>
      </c>
      <c r="D4289" s="6" t="str">
        <f>"202140042628"</f>
        <v>202140042628</v>
      </c>
      <c r="E4289" s="10" t="s">
        <v>28</v>
      </c>
      <c r="F4289" s="6" t="s">
        <v>28</v>
      </c>
      <c r="G4289" s="8">
        <v>58.1</v>
      </c>
      <c r="H4289" s="6"/>
    </row>
    <row r="4290" spans="1:8">
      <c r="A4290" s="5">
        <v>3927</v>
      </c>
      <c r="B4290" s="6" t="str">
        <f>"王娜"</f>
        <v>王娜</v>
      </c>
      <c r="C4290" s="6" t="str">
        <f t="shared" si="196"/>
        <v>女</v>
      </c>
      <c r="D4290" s="6" t="str">
        <f>"202140042629"</f>
        <v>202140042629</v>
      </c>
      <c r="E4290" s="10" t="s">
        <v>28</v>
      </c>
      <c r="F4290" s="6" t="s">
        <v>28</v>
      </c>
      <c r="G4290" s="8">
        <v>52.5</v>
      </c>
      <c r="H4290" s="6"/>
    </row>
    <row r="4291" spans="1:8">
      <c r="A4291" s="5">
        <v>3936</v>
      </c>
      <c r="B4291" s="6" t="str">
        <f>"杨忠林"</f>
        <v>杨忠林</v>
      </c>
      <c r="C4291" s="6" t="str">
        <f>"男"</f>
        <v>男</v>
      </c>
      <c r="D4291" s="6" t="str">
        <f>"202140042630"</f>
        <v>202140042630</v>
      </c>
      <c r="E4291" s="10" t="s">
        <v>28</v>
      </c>
      <c r="F4291" s="6" t="s">
        <v>28</v>
      </c>
      <c r="G4291" s="8">
        <v>59.6</v>
      </c>
      <c r="H4291" s="6"/>
    </row>
    <row r="4292" spans="1:8">
      <c r="A4292" s="5">
        <v>4128</v>
      </c>
      <c r="B4292" s="6" t="str">
        <f>"黄峥"</f>
        <v>黄峥</v>
      </c>
      <c r="C4292" s="6" t="str">
        <f t="shared" ref="C4292:C4334" si="197">"女"</f>
        <v>女</v>
      </c>
      <c r="D4292" s="6" t="str">
        <f>"202140042701"</f>
        <v>202140042701</v>
      </c>
      <c r="E4292" s="10" t="s">
        <v>28</v>
      </c>
      <c r="F4292" s="6" t="s">
        <v>28</v>
      </c>
      <c r="G4292" s="8">
        <v>68.150000000000006</v>
      </c>
      <c r="H4292" s="6"/>
    </row>
    <row r="4293" spans="1:8">
      <c r="A4293" s="5">
        <v>4115</v>
      </c>
      <c r="B4293" s="6" t="str">
        <f>"王俊"</f>
        <v>王俊</v>
      </c>
      <c r="C4293" s="6" t="str">
        <f t="shared" si="197"/>
        <v>女</v>
      </c>
      <c r="D4293" s="6" t="str">
        <f>"202140042702"</f>
        <v>202140042702</v>
      </c>
      <c r="E4293" s="10" t="s">
        <v>28</v>
      </c>
      <c r="F4293" s="6" t="s">
        <v>28</v>
      </c>
      <c r="G4293" s="8">
        <v>55</v>
      </c>
      <c r="H4293" s="6"/>
    </row>
    <row r="4294" spans="1:8">
      <c r="A4294" s="5">
        <v>4095</v>
      </c>
      <c r="B4294" s="6" t="str">
        <f>"吴鲜鲜"</f>
        <v>吴鲜鲜</v>
      </c>
      <c r="C4294" s="6" t="str">
        <f t="shared" si="197"/>
        <v>女</v>
      </c>
      <c r="D4294" s="6" t="str">
        <f>"202140042703"</f>
        <v>202140042703</v>
      </c>
      <c r="E4294" s="10" t="s">
        <v>28</v>
      </c>
      <c r="F4294" s="6" t="s">
        <v>28</v>
      </c>
      <c r="G4294" s="8">
        <v>50.75</v>
      </c>
      <c r="H4294" s="6"/>
    </row>
    <row r="4295" spans="1:8">
      <c r="A4295" s="5">
        <v>4113</v>
      </c>
      <c r="B4295" s="6" t="str">
        <f>"刘佑平"</f>
        <v>刘佑平</v>
      </c>
      <c r="C4295" s="6" t="str">
        <f t="shared" si="197"/>
        <v>女</v>
      </c>
      <c r="D4295" s="6" t="str">
        <f>"202140042704"</f>
        <v>202140042704</v>
      </c>
      <c r="E4295" s="10" t="s">
        <v>28</v>
      </c>
      <c r="F4295" s="6" t="s">
        <v>28</v>
      </c>
      <c r="G4295" s="8">
        <v>71.400000000000006</v>
      </c>
      <c r="H4295" s="6"/>
    </row>
    <row r="4296" spans="1:8">
      <c r="A4296" s="5">
        <v>4074</v>
      </c>
      <c r="B4296" s="6" t="str">
        <f>"王晶"</f>
        <v>王晶</v>
      </c>
      <c r="C4296" s="6" t="str">
        <f t="shared" si="197"/>
        <v>女</v>
      </c>
      <c r="D4296" s="6" t="str">
        <f>"202140042705"</f>
        <v>202140042705</v>
      </c>
      <c r="E4296" s="10" t="s">
        <v>28</v>
      </c>
      <c r="F4296" s="6" t="s">
        <v>28</v>
      </c>
      <c r="G4296" s="8">
        <v>52.95</v>
      </c>
      <c r="H4296" s="6"/>
    </row>
    <row r="4297" spans="1:8">
      <c r="A4297" s="5">
        <v>4101</v>
      </c>
      <c r="B4297" s="6" t="str">
        <f>"朱丽敏"</f>
        <v>朱丽敏</v>
      </c>
      <c r="C4297" s="6" t="str">
        <f t="shared" si="197"/>
        <v>女</v>
      </c>
      <c r="D4297" s="6" t="str">
        <f>"202140042706"</f>
        <v>202140042706</v>
      </c>
      <c r="E4297" s="10" t="s">
        <v>28</v>
      </c>
      <c r="F4297" s="6" t="s">
        <v>28</v>
      </c>
      <c r="G4297" s="8">
        <v>63.3</v>
      </c>
      <c r="H4297" s="6"/>
    </row>
    <row r="4298" spans="1:8">
      <c r="A4298" s="5">
        <v>3983</v>
      </c>
      <c r="B4298" s="6" t="str">
        <f>"罗琴"</f>
        <v>罗琴</v>
      </c>
      <c r="C4298" s="6" t="str">
        <f t="shared" si="197"/>
        <v>女</v>
      </c>
      <c r="D4298" s="6" t="str">
        <f>"202140042707"</f>
        <v>202140042707</v>
      </c>
      <c r="E4298" s="10" t="s">
        <v>28</v>
      </c>
      <c r="F4298" s="6" t="s">
        <v>28</v>
      </c>
      <c r="G4298" s="8">
        <v>66.650000000000006</v>
      </c>
      <c r="H4298" s="6"/>
    </row>
    <row r="4299" spans="1:8">
      <c r="A4299" s="5">
        <v>4000</v>
      </c>
      <c r="B4299" s="6" t="str">
        <f>"肖兰凤"</f>
        <v>肖兰凤</v>
      </c>
      <c r="C4299" s="6" t="str">
        <f t="shared" si="197"/>
        <v>女</v>
      </c>
      <c r="D4299" s="6" t="str">
        <f>"202140042708"</f>
        <v>202140042708</v>
      </c>
      <c r="E4299" s="10" t="s">
        <v>28</v>
      </c>
      <c r="F4299" s="6" t="s">
        <v>28</v>
      </c>
      <c r="G4299" s="8">
        <v>64.05</v>
      </c>
      <c r="H4299" s="6"/>
    </row>
    <row r="4300" spans="1:8">
      <c r="A4300" s="5">
        <v>4167</v>
      </c>
      <c r="B4300" s="6" t="str">
        <f>"贺宝慧"</f>
        <v>贺宝慧</v>
      </c>
      <c r="C4300" s="6" t="str">
        <f t="shared" si="197"/>
        <v>女</v>
      </c>
      <c r="D4300" s="6" t="str">
        <f>"202140042709"</f>
        <v>202140042709</v>
      </c>
      <c r="E4300" s="10" t="s">
        <v>28</v>
      </c>
      <c r="F4300" s="6" t="s">
        <v>28</v>
      </c>
      <c r="G4300" s="8">
        <v>43.75</v>
      </c>
      <c r="H4300" s="6"/>
    </row>
    <row r="4301" spans="1:8">
      <c r="A4301" s="5">
        <v>3994</v>
      </c>
      <c r="B4301" s="6" t="str">
        <f>"贺加贝"</f>
        <v>贺加贝</v>
      </c>
      <c r="C4301" s="6" t="str">
        <f t="shared" si="197"/>
        <v>女</v>
      </c>
      <c r="D4301" s="6" t="str">
        <f>"202140042710"</f>
        <v>202140042710</v>
      </c>
      <c r="E4301" s="10" t="s">
        <v>28</v>
      </c>
      <c r="F4301" s="6" t="s">
        <v>28</v>
      </c>
      <c r="G4301" s="8">
        <v>53.15</v>
      </c>
      <c r="H4301" s="6"/>
    </row>
    <row r="4302" spans="1:8">
      <c r="A4302" s="5">
        <v>4118</v>
      </c>
      <c r="B4302" s="6" t="str">
        <f>"孙艳芬"</f>
        <v>孙艳芬</v>
      </c>
      <c r="C4302" s="6" t="str">
        <f t="shared" si="197"/>
        <v>女</v>
      </c>
      <c r="D4302" s="6" t="str">
        <f>"202140042711"</f>
        <v>202140042711</v>
      </c>
      <c r="E4302" s="10" t="s">
        <v>28</v>
      </c>
      <c r="F4302" s="6" t="s">
        <v>28</v>
      </c>
      <c r="G4302" s="8">
        <v>68.75</v>
      </c>
      <c r="H4302" s="6"/>
    </row>
    <row r="4303" spans="1:8">
      <c r="A4303" s="5">
        <v>4187</v>
      </c>
      <c r="B4303" s="6" t="str">
        <f>"郭亮亮"</f>
        <v>郭亮亮</v>
      </c>
      <c r="C4303" s="6" t="str">
        <f t="shared" si="197"/>
        <v>女</v>
      </c>
      <c r="D4303" s="6" t="str">
        <f>"202140042712"</f>
        <v>202140042712</v>
      </c>
      <c r="E4303" s="10" t="s">
        <v>28</v>
      </c>
      <c r="F4303" s="6" t="s">
        <v>28</v>
      </c>
      <c r="G4303" s="8">
        <v>47.5</v>
      </c>
      <c r="H4303" s="6"/>
    </row>
    <row r="4304" spans="1:8">
      <c r="A4304" s="5">
        <v>3925</v>
      </c>
      <c r="B4304" s="6" t="str">
        <f>"刘璀"</f>
        <v>刘璀</v>
      </c>
      <c r="C4304" s="6" t="str">
        <f t="shared" si="197"/>
        <v>女</v>
      </c>
      <c r="D4304" s="6" t="str">
        <f>"202140042713"</f>
        <v>202140042713</v>
      </c>
      <c r="E4304" s="10" t="s">
        <v>28</v>
      </c>
      <c r="F4304" s="6" t="s">
        <v>28</v>
      </c>
      <c r="G4304" s="8">
        <v>0</v>
      </c>
      <c r="H4304" s="9">
        <v>1</v>
      </c>
    </row>
    <row r="4305" spans="1:8">
      <c r="A4305" s="5">
        <v>4005</v>
      </c>
      <c r="B4305" s="6" t="str">
        <f>"王倩"</f>
        <v>王倩</v>
      </c>
      <c r="C4305" s="6" t="str">
        <f t="shared" si="197"/>
        <v>女</v>
      </c>
      <c r="D4305" s="6" t="str">
        <f>"202140042714"</f>
        <v>202140042714</v>
      </c>
      <c r="E4305" s="10" t="s">
        <v>28</v>
      </c>
      <c r="F4305" s="6" t="s">
        <v>28</v>
      </c>
      <c r="G4305" s="8">
        <v>59.45</v>
      </c>
      <c r="H4305" s="6"/>
    </row>
    <row r="4306" spans="1:8">
      <c r="A4306" s="5">
        <v>4025</v>
      </c>
      <c r="B4306" s="6" t="str">
        <f>"肖玉贤"</f>
        <v>肖玉贤</v>
      </c>
      <c r="C4306" s="6" t="str">
        <f t="shared" si="197"/>
        <v>女</v>
      </c>
      <c r="D4306" s="6" t="str">
        <f>"202140042715"</f>
        <v>202140042715</v>
      </c>
      <c r="E4306" s="10" t="s">
        <v>28</v>
      </c>
      <c r="F4306" s="6" t="s">
        <v>28</v>
      </c>
      <c r="G4306" s="8">
        <v>61.85</v>
      </c>
      <c r="H4306" s="6"/>
    </row>
    <row r="4307" spans="1:8">
      <c r="A4307" s="5">
        <v>4099</v>
      </c>
      <c r="B4307" s="6" t="str">
        <f>"蒋梦瑶"</f>
        <v>蒋梦瑶</v>
      </c>
      <c r="C4307" s="6" t="str">
        <f t="shared" si="197"/>
        <v>女</v>
      </c>
      <c r="D4307" s="6" t="str">
        <f>"202140042716"</f>
        <v>202140042716</v>
      </c>
      <c r="E4307" s="10" t="s">
        <v>28</v>
      </c>
      <c r="F4307" s="6" t="s">
        <v>28</v>
      </c>
      <c r="G4307" s="8">
        <v>51.4</v>
      </c>
      <c r="H4307" s="6"/>
    </row>
    <row r="4308" spans="1:8">
      <c r="A4308" s="5">
        <v>4184</v>
      </c>
      <c r="B4308" s="6" t="str">
        <f>"尹倩倩"</f>
        <v>尹倩倩</v>
      </c>
      <c r="C4308" s="6" t="str">
        <f t="shared" si="197"/>
        <v>女</v>
      </c>
      <c r="D4308" s="6" t="str">
        <f>"202140042717"</f>
        <v>202140042717</v>
      </c>
      <c r="E4308" s="10" t="s">
        <v>28</v>
      </c>
      <c r="F4308" s="6" t="s">
        <v>28</v>
      </c>
      <c r="G4308" s="8">
        <v>65.349999999999994</v>
      </c>
      <c r="H4308" s="6"/>
    </row>
    <row r="4309" spans="1:8">
      <c r="A4309" s="5">
        <v>4087</v>
      </c>
      <c r="B4309" s="6" t="str">
        <f>"杨朝晖"</f>
        <v>杨朝晖</v>
      </c>
      <c r="C4309" s="6" t="str">
        <f t="shared" si="197"/>
        <v>女</v>
      </c>
      <c r="D4309" s="6" t="str">
        <f>"202140042718"</f>
        <v>202140042718</v>
      </c>
      <c r="E4309" s="10" t="s">
        <v>28</v>
      </c>
      <c r="F4309" s="6" t="s">
        <v>28</v>
      </c>
      <c r="G4309" s="8">
        <v>0</v>
      </c>
      <c r="H4309" s="9">
        <v>1</v>
      </c>
    </row>
    <row r="4310" spans="1:8">
      <c r="A4310" s="5">
        <v>4055</v>
      </c>
      <c r="B4310" s="6" t="str">
        <f>"唐伊依"</f>
        <v>唐伊依</v>
      </c>
      <c r="C4310" s="6" t="str">
        <f t="shared" si="197"/>
        <v>女</v>
      </c>
      <c r="D4310" s="6" t="str">
        <f>"202140042719"</f>
        <v>202140042719</v>
      </c>
      <c r="E4310" s="10" t="s">
        <v>28</v>
      </c>
      <c r="F4310" s="6" t="s">
        <v>28</v>
      </c>
      <c r="G4310" s="8">
        <v>54.5</v>
      </c>
      <c r="H4310" s="6"/>
    </row>
    <row r="4311" spans="1:8">
      <c r="A4311" s="5">
        <v>4038</v>
      </c>
      <c r="B4311" s="6" t="str">
        <f>"杨妍云"</f>
        <v>杨妍云</v>
      </c>
      <c r="C4311" s="6" t="str">
        <f t="shared" si="197"/>
        <v>女</v>
      </c>
      <c r="D4311" s="6" t="str">
        <f>"202140042720"</f>
        <v>202140042720</v>
      </c>
      <c r="E4311" s="10" t="s">
        <v>28</v>
      </c>
      <c r="F4311" s="6" t="s">
        <v>28</v>
      </c>
      <c r="G4311" s="8">
        <v>68.2</v>
      </c>
      <c r="H4311" s="6"/>
    </row>
    <row r="4312" spans="1:8">
      <c r="A4312" s="5">
        <v>4139</v>
      </c>
      <c r="B4312" s="6" t="str">
        <f>"钱路"</f>
        <v>钱路</v>
      </c>
      <c r="C4312" s="6" t="str">
        <f t="shared" si="197"/>
        <v>女</v>
      </c>
      <c r="D4312" s="6" t="str">
        <f>"202140042721"</f>
        <v>202140042721</v>
      </c>
      <c r="E4312" s="10" t="s">
        <v>28</v>
      </c>
      <c r="F4312" s="6" t="s">
        <v>28</v>
      </c>
      <c r="G4312" s="8">
        <v>51.1</v>
      </c>
      <c r="H4312" s="6"/>
    </row>
    <row r="4313" spans="1:8">
      <c r="A4313" s="5">
        <v>3963</v>
      </c>
      <c r="B4313" s="6" t="str">
        <f>"梁佳婷"</f>
        <v>梁佳婷</v>
      </c>
      <c r="C4313" s="6" t="str">
        <f t="shared" si="197"/>
        <v>女</v>
      </c>
      <c r="D4313" s="6" t="str">
        <f>"202140042722"</f>
        <v>202140042722</v>
      </c>
      <c r="E4313" s="10" t="s">
        <v>28</v>
      </c>
      <c r="F4313" s="6" t="s">
        <v>28</v>
      </c>
      <c r="G4313" s="8">
        <v>54.9</v>
      </c>
      <c r="H4313" s="6"/>
    </row>
    <row r="4314" spans="1:8">
      <c r="A4314" s="5">
        <v>4142</v>
      </c>
      <c r="B4314" s="6" t="str">
        <f>"张芬"</f>
        <v>张芬</v>
      </c>
      <c r="C4314" s="6" t="str">
        <f t="shared" si="197"/>
        <v>女</v>
      </c>
      <c r="D4314" s="6" t="str">
        <f>"202140042723"</f>
        <v>202140042723</v>
      </c>
      <c r="E4314" s="10" t="s">
        <v>28</v>
      </c>
      <c r="F4314" s="6" t="s">
        <v>28</v>
      </c>
      <c r="G4314" s="8">
        <v>71.650000000000006</v>
      </c>
      <c r="H4314" s="6"/>
    </row>
    <row r="4315" spans="1:8">
      <c r="A4315" s="5">
        <v>4069</v>
      </c>
      <c r="B4315" s="6" t="str">
        <f>"刘明明"</f>
        <v>刘明明</v>
      </c>
      <c r="C4315" s="6" t="str">
        <f t="shared" si="197"/>
        <v>女</v>
      </c>
      <c r="D4315" s="6" t="str">
        <f>"202140042724"</f>
        <v>202140042724</v>
      </c>
      <c r="E4315" s="10" t="s">
        <v>28</v>
      </c>
      <c r="F4315" s="6" t="s">
        <v>28</v>
      </c>
      <c r="G4315" s="8">
        <v>43.8</v>
      </c>
      <c r="H4315" s="6"/>
    </row>
    <row r="4316" spans="1:8">
      <c r="A4316" s="5">
        <v>4084</v>
      </c>
      <c r="B4316" s="6" t="str">
        <f>"彭静"</f>
        <v>彭静</v>
      </c>
      <c r="C4316" s="6" t="str">
        <f t="shared" si="197"/>
        <v>女</v>
      </c>
      <c r="D4316" s="6" t="str">
        <f>"202140042725"</f>
        <v>202140042725</v>
      </c>
      <c r="E4316" s="10" t="s">
        <v>28</v>
      </c>
      <c r="F4316" s="6" t="s">
        <v>28</v>
      </c>
      <c r="G4316" s="8">
        <v>58.8</v>
      </c>
      <c r="H4316" s="6"/>
    </row>
    <row r="4317" spans="1:8">
      <c r="A4317" s="5">
        <v>4017</v>
      </c>
      <c r="B4317" s="6" t="str">
        <f>"吴茵"</f>
        <v>吴茵</v>
      </c>
      <c r="C4317" s="6" t="str">
        <f t="shared" si="197"/>
        <v>女</v>
      </c>
      <c r="D4317" s="6" t="str">
        <f>"202140042726"</f>
        <v>202140042726</v>
      </c>
      <c r="E4317" s="10" t="s">
        <v>28</v>
      </c>
      <c r="F4317" s="6" t="s">
        <v>28</v>
      </c>
      <c r="G4317" s="8">
        <v>71.55</v>
      </c>
      <c r="H4317" s="6"/>
    </row>
    <row r="4318" spans="1:8">
      <c r="A4318" s="5">
        <v>4012</v>
      </c>
      <c r="B4318" s="6" t="str">
        <f>"孔雯"</f>
        <v>孔雯</v>
      </c>
      <c r="C4318" s="6" t="str">
        <f t="shared" si="197"/>
        <v>女</v>
      </c>
      <c r="D4318" s="6" t="str">
        <f>"202140042727"</f>
        <v>202140042727</v>
      </c>
      <c r="E4318" s="10" t="s">
        <v>28</v>
      </c>
      <c r="F4318" s="6" t="s">
        <v>28</v>
      </c>
      <c r="G4318" s="8">
        <v>47.55</v>
      </c>
      <c r="H4318" s="6"/>
    </row>
    <row r="4319" spans="1:8">
      <c r="A4319" s="5">
        <v>3930</v>
      </c>
      <c r="B4319" s="6" t="str">
        <f>"刘湘钰"</f>
        <v>刘湘钰</v>
      </c>
      <c r="C4319" s="6" t="str">
        <f t="shared" si="197"/>
        <v>女</v>
      </c>
      <c r="D4319" s="6" t="str">
        <f>"202140042728"</f>
        <v>202140042728</v>
      </c>
      <c r="E4319" s="10" t="s">
        <v>28</v>
      </c>
      <c r="F4319" s="6" t="s">
        <v>28</v>
      </c>
      <c r="G4319" s="8">
        <v>40.299999999999997</v>
      </c>
      <c r="H4319" s="6"/>
    </row>
    <row r="4320" spans="1:8">
      <c r="A4320" s="5">
        <v>4039</v>
      </c>
      <c r="B4320" s="6" t="str">
        <f>"胡银华"</f>
        <v>胡银华</v>
      </c>
      <c r="C4320" s="6" t="str">
        <f t="shared" si="197"/>
        <v>女</v>
      </c>
      <c r="D4320" s="6" t="str">
        <f>"202140042729"</f>
        <v>202140042729</v>
      </c>
      <c r="E4320" s="10" t="s">
        <v>28</v>
      </c>
      <c r="F4320" s="6" t="s">
        <v>28</v>
      </c>
      <c r="G4320" s="8">
        <v>61.15</v>
      </c>
      <c r="H4320" s="6"/>
    </row>
    <row r="4321" spans="1:8">
      <c r="A4321" s="5">
        <v>4093</v>
      </c>
      <c r="B4321" s="6" t="str">
        <f>"罗佳妍"</f>
        <v>罗佳妍</v>
      </c>
      <c r="C4321" s="6" t="str">
        <f t="shared" si="197"/>
        <v>女</v>
      </c>
      <c r="D4321" s="6" t="str">
        <f>"202140042730"</f>
        <v>202140042730</v>
      </c>
      <c r="E4321" s="10" t="s">
        <v>28</v>
      </c>
      <c r="F4321" s="6" t="s">
        <v>28</v>
      </c>
      <c r="G4321" s="8">
        <v>47.6</v>
      </c>
      <c r="H4321" s="6"/>
    </row>
    <row r="4322" spans="1:8">
      <c r="A4322" s="5">
        <v>4125</v>
      </c>
      <c r="B4322" s="6" t="str">
        <f>"黄题甜"</f>
        <v>黄题甜</v>
      </c>
      <c r="C4322" s="6" t="str">
        <f t="shared" si="197"/>
        <v>女</v>
      </c>
      <c r="D4322" s="6" t="str">
        <f>"202140042801"</f>
        <v>202140042801</v>
      </c>
      <c r="E4322" s="10" t="s">
        <v>28</v>
      </c>
      <c r="F4322" s="6" t="s">
        <v>28</v>
      </c>
      <c r="G4322" s="8">
        <v>56</v>
      </c>
      <c r="H4322" s="6"/>
    </row>
    <row r="4323" spans="1:8">
      <c r="A4323" s="5">
        <v>4015</v>
      </c>
      <c r="B4323" s="6" t="str">
        <f>"蒋梅琪"</f>
        <v>蒋梅琪</v>
      </c>
      <c r="C4323" s="6" t="str">
        <f t="shared" si="197"/>
        <v>女</v>
      </c>
      <c r="D4323" s="6" t="str">
        <f>"202140042802"</f>
        <v>202140042802</v>
      </c>
      <c r="E4323" s="10" t="s">
        <v>28</v>
      </c>
      <c r="F4323" s="6" t="s">
        <v>28</v>
      </c>
      <c r="G4323" s="8">
        <v>55.7</v>
      </c>
      <c r="H4323" s="6"/>
    </row>
    <row r="4324" spans="1:8">
      <c r="A4324" s="5">
        <v>3964</v>
      </c>
      <c r="B4324" s="6" t="str">
        <f>"陈敏"</f>
        <v>陈敏</v>
      </c>
      <c r="C4324" s="6" t="str">
        <f t="shared" si="197"/>
        <v>女</v>
      </c>
      <c r="D4324" s="6" t="str">
        <f>"202140042803"</f>
        <v>202140042803</v>
      </c>
      <c r="E4324" s="10" t="s">
        <v>28</v>
      </c>
      <c r="F4324" s="6" t="s">
        <v>28</v>
      </c>
      <c r="G4324" s="8">
        <v>52.75</v>
      </c>
      <c r="H4324" s="6"/>
    </row>
    <row r="4325" spans="1:8">
      <c r="A4325" s="5">
        <v>4081</v>
      </c>
      <c r="B4325" s="6" t="str">
        <f>"张秋萍"</f>
        <v>张秋萍</v>
      </c>
      <c r="C4325" s="6" t="str">
        <f t="shared" si="197"/>
        <v>女</v>
      </c>
      <c r="D4325" s="6" t="str">
        <f>"202140042804"</f>
        <v>202140042804</v>
      </c>
      <c r="E4325" s="10" t="s">
        <v>28</v>
      </c>
      <c r="F4325" s="6" t="s">
        <v>28</v>
      </c>
      <c r="G4325" s="8">
        <v>57.95</v>
      </c>
      <c r="H4325" s="6"/>
    </row>
    <row r="4326" spans="1:8">
      <c r="A4326" s="5">
        <v>4045</v>
      </c>
      <c r="B4326" s="6" t="str">
        <f>"蔡馥嶷"</f>
        <v>蔡馥嶷</v>
      </c>
      <c r="C4326" s="6" t="str">
        <f t="shared" si="197"/>
        <v>女</v>
      </c>
      <c r="D4326" s="6" t="str">
        <f>"202140042805"</f>
        <v>202140042805</v>
      </c>
      <c r="E4326" s="10" t="s">
        <v>28</v>
      </c>
      <c r="F4326" s="6" t="s">
        <v>28</v>
      </c>
      <c r="G4326" s="8">
        <v>49.6</v>
      </c>
      <c r="H4326" s="6"/>
    </row>
    <row r="4327" spans="1:8">
      <c r="A4327" s="5">
        <v>4059</v>
      </c>
      <c r="B4327" s="6" t="str">
        <f>"刘小玲"</f>
        <v>刘小玲</v>
      </c>
      <c r="C4327" s="6" t="str">
        <f t="shared" si="197"/>
        <v>女</v>
      </c>
      <c r="D4327" s="6" t="str">
        <f>"202140042806"</f>
        <v>202140042806</v>
      </c>
      <c r="E4327" s="10" t="s">
        <v>28</v>
      </c>
      <c r="F4327" s="6" t="s">
        <v>28</v>
      </c>
      <c r="G4327" s="8">
        <v>59.8</v>
      </c>
      <c r="H4327" s="6"/>
    </row>
    <row r="4328" spans="1:8">
      <c r="A4328" s="5">
        <v>4194</v>
      </c>
      <c r="B4328" s="6" t="str">
        <f>"程馨"</f>
        <v>程馨</v>
      </c>
      <c r="C4328" s="6" t="str">
        <f t="shared" si="197"/>
        <v>女</v>
      </c>
      <c r="D4328" s="6" t="str">
        <f>"202140042807"</f>
        <v>202140042807</v>
      </c>
      <c r="E4328" s="10" t="s">
        <v>28</v>
      </c>
      <c r="F4328" s="6" t="s">
        <v>28</v>
      </c>
      <c r="G4328" s="8">
        <v>56.85</v>
      </c>
      <c r="H4328" s="6"/>
    </row>
    <row r="4329" spans="1:8">
      <c r="A4329" s="5">
        <v>3974</v>
      </c>
      <c r="B4329" s="6" t="str">
        <f>"张叶玲"</f>
        <v>张叶玲</v>
      </c>
      <c r="C4329" s="6" t="str">
        <f t="shared" si="197"/>
        <v>女</v>
      </c>
      <c r="D4329" s="6" t="str">
        <f>"202140042808"</f>
        <v>202140042808</v>
      </c>
      <c r="E4329" s="10" t="s">
        <v>28</v>
      </c>
      <c r="F4329" s="6" t="s">
        <v>28</v>
      </c>
      <c r="G4329" s="8">
        <v>66</v>
      </c>
      <c r="H4329" s="6"/>
    </row>
    <row r="4330" spans="1:8">
      <c r="A4330" s="5">
        <v>4147</v>
      </c>
      <c r="B4330" s="6" t="str">
        <f>"罗增辉"</f>
        <v>罗增辉</v>
      </c>
      <c r="C4330" s="6" t="str">
        <f t="shared" si="197"/>
        <v>女</v>
      </c>
      <c r="D4330" s="6" t="str">
        <f>"202140042809"</f>
        <v>202140042809</v>
      </c>
      <c r="E4330" s="10" t="s">
        <v>28</v>
      </c>
      <c r="F4330" s="6" t="s">
        <v>28</v>
      </c>
      <c r="G4330" s="8">
        <v>34.5</v>
      </c>
      <c r="H4330" s="6"/>
    </row>
    <row r="4331" spans="1:8">
      <c r="A4331" s="5">
        <v>4159</v>
      </c>
      <c r="B4331" s="6" t="str">
        <f>"莫焰来"</f>
        <v>莫焰来</v>
      </c>
      <c r="C4331" s="6" t="str">
        <f t="shared" si="197"/>
        <v>女</v>
      </c>
      <c r="D4331" s="6" t="str">
        <f>"202140042810"</f>
        <v>202140042810</v>
      </c>
      <c r="E4331" s="10" t="s">
        <v>28</v>
      </c>
      <c r="F4331" s="6" t="s">
        <v>28</v>
      </c>
      <c r="G4331" s="8">
        <v>60.55</v>
      </c>
      <c r="H4331" s="6"/>
    </row>
    <row r="4332" spans="1:8">
      <c r="A4332" s="5">
        <v>4008</v>
      </c>
      <c r="B4332" s="6" t="str">
        <f>"孙梦圆"</f>
        <v>孙梦圆</v>
      </c>
      <c r="C4332" s="6" t="str">
        <f t="shared" si="197"/>
        <v>女</v>
      </c>
      <c r="D4332" s="6" t="str">
        <f>"202140042811"</f>
        <v>202140042811</v>
      </c>
      <c r="E4332" s="10" t="s">
        <v>28</v>
      </c>
      <c r="F4332" s="6" t="s">
        <v>28</v>
      </c>
      <c r="G4332" s="8">
        <v>48.55</v>
      </c>
      <c r="H4332" s="6"/>
    </row>
    <row r="4333" spans="1:8">
      <c r="A4333" s="5">
        <v>4004</v>
      </c>
      <c r="B4333" s="6" t="str">
        <f>"谭小玲"</f>
        <v>谭小玲</v>
      </c>
      <c r="C4333" s="6" t="str">
        <f t="shared" si="197"/>
        <v>女</v>
      </c>
      <c r="D4333" s="6" t="str">
        <f>"202140042812"</f>
        <v>202140042812</v>
      </c>
      <c r="E4333" s="10" t="s">
        <v>28</v>
      </c>
      <c r="F4333" s="6" t="s">
        <v>28</v>
      </c>
      <c r="G4333" s="8">
        <v>54.65</v>
      </c>
      <c r="H4333" s="6"/>
    </row>
    <row r="4334" spans="1:8">
      <c r="A4334" s="5">
        <v>3922</v>
      </c>
      <c r="B4334" s="6" t="str">
        <f>"张志芳"</f>
        <v>张志芳</v>
      </c>
      <c r="C4334" s="6" t="str">
        <f t="shared" si="197"/>
        <v>女</v>
      </c>
      <c r="D4334" s="6" t="str">
        <f>"202140042813"</f>
        <v>202140042813</v>
      </c>
      <c r="E4334" s="10" t="s">
        <v>28</v>
      </c>
      <c r="F4334" s="6" t="s">
        <v>28</v>
      </c>
      <c r="G4334" s="8">
        <v>0</v>
      </c>
      <c r="H4334" s="9">
        <v>1</v>
      </c>
    </row>
    <row r="4335" spans="1:8">
      <c r="A4335" s="5">
        <v>4154</v>
      </c>
      <c r="B4335" s="6" t="str">
        <f>"李登攀"</f>
        <v>李登攀</v>
      </c>
      <c r="C4335" s="6" t="str">
        <f>"男"</f>
        <v>男</v>
      </c>
      <c r="D4335" s="6" t="str">
        <f>"202140042814"</f>
        <v>202140042814</v>
      </c>
      <c r="E4335" s="10" t="s">
        <v>28</v>
      </c>
      <c r="F4335" s="6" t="s">
        <v>28</v>
      </c>
      <c r="G4335" s="8">
        <v>48.45</v>
      </c>
      <c r="H4335" s="6"/>
    </row>
    <row r="4336" spans="1:8">
      <c r="A4336" s="5">
        <v>4108</v>
      </c>
      <c r="B4336" s="6" t="str">
        <f>"周社英"</f>
        <v>周社英</v>
      </c>
      <c r="C4336" s="6" t="str">
        <f t="shared" ref="C4336:C4367" si="198">"女"</f>
        <v>女</v>
      </c>
      <c r="D4336" s="6" t="str">
        <f>"202140042815"</f>
        <v>202140042815</v>
      </c>
      <c r="E4336" s="10" t="s">
        <v>28</v>
      </c>
      <c r="F4336" s="6" t="s">
        <v>28</v>
      </c>
      <c r="G4336" s="8">
        <v>51.95</v>
      </c>
      <c r="H4336" s="6"/>
    </row>
    <row r="4337" spans="1:8">
      <c r="A4337" s="5">
        <v>4114</v>
      </c>
      <c r="B4337" s="6" t="str">
        <f>"李玲欣"</f>
        <v>李玲欣</v>
      </c>
      <c r="C4337" s="6" t="str">
        <f t="shared" si="198"/>
        <v>女</v>
      </c>
      <c r="D4337" s="6" t="str">
        <f>"202140042816"</f>
        <v>202140042816</v>
      </c>
      <c r="E4337" s="10" t="s">
        <v>28</v>
      </c>
      <c r="F4337" s="6" t="s">
        <v>28</v>
      </c>
      <c r="G4337" s="8">
        <v>51.05</v>
      </c>
      <c r="H4337" s="6"/>
    </row>
    <row r="4338" spans="1:8">
      <c r="A4338" s="5">
        <v>4006</v>
      </c>
      <c r="B4338" s="6" t="str">
        <f>"周碧婷"</f>
        <v>周碧婷</v>
      </c>
      <c r="C4338" s="6" t="str">
        <f t="shared" si="198"/>
        <v>女</v>
      </c>
      <c r="D4338" s="6" t="str">
        <f>"202140042817"</f>
        <v>202140042817</v>
      </c>
      <c r="E4338" s="10" t="s">
        <v>28</v>
      </c>
      <c r="F4338" s="6" t="s">
        <v>28</v>
      </c>
      <c r="G4338" s="8">
        <v>59.75</v>
      </c>
      <c r="H4338" s="6"/>
    </row>
    <row r="4339" spans="1:8">
      <c r="A4339" s="5">
        <v>4137</v>
      </c>
      <c r="B4339" s="6" t="str">
        <f>"欧阳熠孜"</f>
        <v>欧阳熠孜</v>
      </c>
      <c r="C4339" s="6" t="str">
        <f t="shared" si="198"/>
        <v>女</v>
      </c>
      <c r="D4339" s="6" t="str">
        <f>"202140042818"</f>
        <v>202140042818</v>
      </c>
      <c r="E4339" s="10" t="s">
        <v>28</v>
      </c>
      <c r="F4339" s="6" t="s">
        <v>28</v>
      </c>
      <c r="G4339" s="8">
        <v>70.55</v>
      </c>
      <c r="H4339" s="6"/>
    </row>
    <row r="4340" spans="1:8">
      <c r="A4340" s="5">
        <v>4027</v>
      </c>
      <c r="B4340" s="6" t="str">
        <f>"李雅婷"</f>
        <v>李雅婷</v>
      </c>
      <c r="C4340" s="6" t="str">
        <f t="shared" si="198"/>
        <v>女</v>
      </c>
      <c r="D4340" s="6" t="str">
        <f>"202140042819"</f>
        <v>202140042819</v>
      </c>
      <c r="E4340" s="10" t="s">
        <v>28</v>
      </c>
      <c r="F4340" s="6" t="s">
        <v>28</v>
      </c>
      <c r="G4340" s="8">
        <v>55.15</v>
      </c>
      <c r="H4340" s="6"/>
    </row>
    <row r="4341" spans="1:8">
      <c r="A4341" s="5">
        <v>4065</v>
      </c>
      <c r="B4341" s="6" t="str">
        <f>"金富阳"</f>
        <v>金富阳</v>
      </c>
      <c r="C4341" s="6" t="str">
        <f t="shared" si="198"/>
        <v>女</v>
      </c>
      <c r="D4341" s="6" t="str">
        <f>"202140042820"</f>
        <v>202140042820</v>
      </c>
      <c r="E4341" s="10" t="s">
        <v>28</v>
      </c>
      <c r="F4341" s="6" t="s">
        <v>28</v>
      </c>
      <c r="G4341" s="8">
        <v>40.700000000000003</v>
      </c>
      <c r="H4341" s="6"/>
    </row>
    <row r="4342" spans="1:8">
      <c r="A4342" s="5">
        <v>4228</v>
      </c>
      <c r="B4342" s="6" t="str">
        <f>"刘妍池"</f>
        <v>刘妍池</v>
      </c>
      <c r="C4342" s="6" t="str">
        <f t="shared" si="198"/>
        <v>女</v>
      </c>
      <c r="D4342" s="6" t="str">
        <f>"202141042821"</f>
        <v>202141042821</v>
      </c>
      <c r="E4342" s="10" t="s">
        <v>28</v>
      </c>
      <c r="F4342" s="6" t="s">
        <v>29</v>
      </c>
      <c r="G4342" s="8">
        <v>55.55</v>
      </c>
      <c r="H4342" s="6"/>
    </row>
    <row r="4343" spans="1:8">
      <c r="A4343" s="5">
        <v>4202</v>
      </c>
      <c r="B4343" s="6" t="str">
        <f>"杨焱"</f>
        <v>杨焱</v>
      </c>
      <c r="C4343" s="6" t="str">
        <f t="shared" si="198"/>
        <v>女</v>
      </c>
      <c r="D4343" s="6" t="str">
        <f>"202141042822"</f>
        <v>202141042822</v>
      </c>
      <c r="E4343" s="10" t="s">
        <v>28</v>
      </c>
      <c r="F4343" s="6" t="s">
        <v>29</v>
      </c>
      <c r="G4343" s="8">
        <v>0</v>
      </c>
      <c r="H4343" s="9">
        <v>1</v>
      </c>
    </row>
    <row r="4344" spans="1:8">
      <c r="A4344" s="5">
        <v>4244</v>
      </c>
      <c r="B4344" s="6" t="str">
        <f>"雷夏燕"</f>
        <v>雷夏燕</v>
      </c>
      <c r="C4344" s="6" t="str">
        <f t="shared" si="198"/>
        <v>女</v>
      </c>
      <c r="D4344" s="6" t="str">
        <f>"202141042823"</f>
        <v>202141042823</v>
      </c>
      <c r="E4344" s="10" t="s">
        <v>28</v>
      </c>
      <c r="F4344" s="6" t="s">
        <v>29</v>
      </c>
      <c r="G4344" s="8">
        <v>60.65</v>
      </c>
      <c r="H4344" s="6"/>
    </row>
    <row r="4345" spans="1:8">
      <c r="A4345" s="5">
        <v>4231</v>
      </c>
      <c r="B4345" s="6" t="str">
        <f>"刘慧"</f>
        <v>刘慧</v>
      </c>
      <c r="C4345" s="6" t="str">
        <f t="shared" si="198"/>
        <v>女</v>
      </c>
      <c r="D4345" s="6" t="str">
        <f>"202141042824"</f>
        <v>202141042824</v>
      </c>
      <c r="E4345" s="10" t="s">
        <v>28</v>
      </c>
      <c r="F4345" s="6" t="s">
        <v>29</v>
      </c>
      <c r="G4345" s="8">
        <v>61.45</v>
      </c>
      <c r="H4345" s="6"/>
    </row>
    <row r="4346" spans="1:8">
      <c r="A4346" s="5">
        <v>4240</v>
      </c>
      <c r="B4346" s="6" t="str">
        <f>"申一力"</f>
        <v>申一力</v>
      </c>
      <c r="C4346" s="6" t="str">
        <f t="shared" si="198"/>
        <v>女</v>
      </c>
      <c r="D4346" s="6" t="str">
        <f>"202141042825"</f>
        <v>202141042825</v>
      </c>
      <c r="E4346" s="10" t="s">
        <v>28</v>
      </c>
      <c r="F4346" s="6" t="s">
        <v>29</v>
      </c>
      <c r="G4346" s="8">
        <v>30.45</v>
      </c>
      <c r="H4346" s="6"/>
    </row>
    <row r="4347" spans="1:8">
      <c r="A4347" s="5">
        <v>4203</v>
      </c>
      <c r="B4347" s="6" t="str">
        <f>"曾依"</f>
        <v>曾依</v>
      </c>
      <c r="C4347" s="6" t="str">
        <f t="shared" si="198"/>
        <v>女</v>
      </c>
      <c r="D4347" s="6" t="str">
        <f>"202141042826"</f>
        <v>202141042826</v>
      </c>
      <c r="E4347" s="10" t="s">
        <v>28</v>
      </c>
      <c r="F4347" s="6" t="s">
        <v>29</v>
      </c>
      <c r="G4347" s="8">
        <v>57.25</v>
      </c>
      <c r="H4347" s="6"/>
    </row>
    <row r="4348" spans="1:8">
      <c r="A4348" s="5">
        <v>4248</v>
      </c>
      <c r="B4348" s="6" t="str">
        <f>"向骄杨"</f>
        <v>向骄杨</v>
      </c>
      <c r="C4348" s="6" t="str">
        <f t="shared" si="198"/>
        <v>女</v>
      </c>
      <c r="D4348" s="6" t="str">
        <f>"202141042827"</f>
        <v>202141042827</v>
      </c>
      <c r="E4348" s="10" t="s">
        <v>28</v>
      </c>
      <c r="F4348" s="6" t="s">
        <v>29</v>
      </c>
      <c r="G4348" s="8">
        <v>54.9</v>
      </c>
      <c r="H4348" s="6"/>
    </row>
    <row r="4349" spans="1:8">
      <c r="A4349" s="5">
        <v>4220</v>
      </c>
      <c r="B4349" s="6" t="str">
        <f>"申恬"</f>
        <v>申恬</v>
      </c>
      <c r="C4349" s="6" t="str">
        <f t="shared" si="198"/>
        <v>女</v>
      </c>
      <c r="D4349" s="6" t="str">
        <f>"202141042828"</f>
        <v>202141042828</v>
      </c>
      <c r="E4349" s="10" t="s">
        <v>28</v>
      </c>
      <c r="F4349" s="6" t="s">
        <v>29</v>
      </c>
      <c r="G4349" s="8">
        <v>73.7</v>
      </c>
      <c r="H4349" s="6"/>
    </row>
    <row r="4350" spans="1:8">
      <c r="A4350" s="5">
        <v>4243</v>
      </c>
      <c r="B4350" s="6" t="str">
        <f>"何娜"</f>
        <v>何娜</v>
      </c>
      <c r="C4350" s="6" t="str">
        <f t="shared" si="198"/>
        <v>女</v>
      </c>
      <c r="D4350" s="6" t="str">
        <f>"202141042829"</f>
        <v>202141042829</v>
      </c>
      <c r="E4350" s="10" t="s">
        <v>28</v>
      </c>
      <c r="F4350" s="6" t="s">
        <v>29</v>
      </c>
      <c r="G4350" s="8">
        <v>56.1</v>
      </c>
      <c r="H4350" s="6"/>
    </row>
    <row r="4351" spans="1:8">
      <c r="A4351" s="5">
        <v>4253</v>
      </c>
      <c r="B4351" s="6" t="str">
        <f>"黄芳"</f>
        <v>黄芳</v>
      </c>
      <c r="C4351" s="6" t="str">
        <f t="shared" si="198"/>
        <v>女</v>
      </c>
      <c r="D4351" s="6" t="str">
        <f>"202141042830"</f>
        <v>202141042830</v>
      </c>
      <c r="E4351" s="10" t="s">
        <v>28</v>
      </c>
      <c r="F4351" s="6" t="s">
        <v>29</v>
      </c>
      <c r="G4351" s="8">
        <v>64.5</v>
      </c>
      <c r="H4351" s="6"/>
    </row>
    <row r="4352" spans="1:8">
      <c r="A4352" s="5">
        <v>4200</v>
      </c>
      <c r="B4352" s="6" t="str">
        <f>"李玲玲"</f>
        <v>李玲玲</v>
      </c>
      <c r="C4352" s="6" t="str">
        <f t="shared" si="198"/>
        <v>女</v>
      </c>
      <c r="D4352" s="6" t="str">
        <f>"202141042901"</f>
        <v>202141042901</v>
      </c>
      <c r="E4352" s="10" t="s">
        <v>28</v>
      </c>
      <c r="F4352" s="6" t="s">
        <v>29</v>
      </c>
      <c r="G4352" s="8">
        <v>0</v>
      </c>
      <c r="H4352" s="9">
        <v>1</v>
      </c>
    </row>
    <row r="4353" spans="1:8">
      <c r="A4353" s="5">
        <v>4210</v>
      </c>
      <c r="B4353" s="6" t="str">
        <f>"陈沛"</f>
        <v>陈沛</v>
      </c>
      <c r="C4353" s="6" t="str">
        <f t="shared" si="198"/>
        <v>女</v>
      </c>
      <c r="D4353" s="6" t="str">
        <f>"202141042902"</f>
        <v>202141042902</v>
      </c>
      <c r="E4353" s="10" t="s">
        <v>28</v>
      </c>
      <c r="F4353" s="6" t="s">
        <v>29</v>
      </c>
      <c r="G4353" s="8">
        <v>61.2</v>
      </c>
      <c r="H4353" s="6"/>
    </row>
    <row r="4354" spans="1:8">
      <c r="A4354" s="5">
        <v>4227</v>
      </c>
      <c r="B4354" s="6" t="str">
        <f>"杨羽"</f>
        <v>杨羽</v>
      </c>
      <c r="C4354" s="6" t="str">
        <f t="shared" si="198"/>
        <v>女</v>
      </c>
      <c r="D4354" s="6" t="str">
        <f>"202141042903"</f>
        <v>202141042903</v>
      </c>
      <c r="E4354" s="10" t="s">
        <v>28</v>
      </c>
      <c r="F4354" s="6" t="s">
        <v>29</v>
      </c>
      <c r="G4354" s="8">
        <v>60.1</v>
      </c>
      <c r="H4354" s="6"/>
    </row>
    <row r="4355" spans="1:8">
      <c r="A4355" s="5">
        <v>4224</v>
      </c>
      <c r="B4355" s="6" t="str">
        <f>"孙琪"</f>
        <v>孙琪</v>
      </c>
      <c r="C4355" s="6" t="str">
        <f t="shared" si="198"/>
        <v>女</v>
      </c>
      <c r="D4355" s="6" t="str">
        <f>"202141042904"</f>
        <v>202141042904</v>
      </c>
      <c r="E4355" s="10" t="s">
        <v>28</v>
      </c>
      <c r="F4355" s="6" t="s">
        <v>29</v>
      </c>
      <c r="G4355" s="8">
        <v>68.25</v>
      </c>
      <c r="H4355" s="6"/>
    </row>
    <row r="4356" spans="1:8">
      <c r="A4356" s="5">
        <v>4258</v>
      </c>
      <c r="B4356" s="6" t="str">
        <f>"高滢洁"</f>
        <v>高滢洁</v>
      </c>
      <c r="C4356" s="6" t="str">
        <f t="shared" si="198"/>
        <v>女</v>
      </c>
      <c r="D4356" s="6" t="str">
        <f>"202141042905"</f>
        <v>202141042905</v>
      </c>
      <c r="E4356" s="10" t="s">
        <v>28</v>
      </c>
      <c r="F4356" s="6" t="s">
        <v>29</v>
      </c>
      <c r="G4356" s="8">
        <v>79.5</v>
      </c>
      <c r="H4356" s="6"/>
    </row>
    <row r="4357" spans="1:8">
      <c r="A4357" s="5">
        <v>4255</v>
      </c>
      <c r="B4357" s="6" t="str">
        <f>"谭阳睿"</f>
        <v>谭阳睿</v>
      </c>
      <c r="C4357" s="6" t="str">
        <f t="shared" si="198"/>
        <v>女</v>
      </c>
      <c r="D4357" s="6" t="str">
        <f>"202141042906"</f>
        <v>202141042906</v>
      </c>
      <c r="E4357" s="10" t="s">
        <v>28</v>
      </c>
      <c r="F4357" s="6" t="s">
        <v>29</v>
      </c>
      <c r="G4357" s="8">
        <v>51.05</v>
      </c>
      <c r="H4357" s="6"/>
    </row>
    <row r="4358" spans="1:8">
      <c r="A4358" s="5">
        <v>4247</v>
      </c>
      <c r="B4358" s="6" t="str">
        <f>"唐玉黔"</f>
        <v>唐玉黔</v>
      </c>
      <c r="C4358" s="6" t="str">
        <f t="shared" si="198"/>
        <v>女</v>
      </c>
      <c r="D4358" s="6" t="str">
        <f>"202141042907"</f>
        <v>202141042907</v>
      </c>
      <c r="E4358" s="10" t="s">
        <v>28</v>
      </c>
      <c r="F4358" s="6" t="s">
        <v>29</v>
      </c>
      <c r="G4358" s="8">
        <v>63.75</v>
      </c>
      <c r="H4358" s="6"/>
    </row>
    <row r="4359" spans="1:8">
      <c r="A4359" s="5">
        <v>4229</v>
      </c>
      <c r="B4359" s="6" t="str">
        <f>"朱媛丹"</f>
        <v>朱媛丹</v>
      </c>
      <c r="C4359" s="6" t="str">
        <f t="shared" si="198"/>
        <v>女</v>
      </c>
      <c r="D4359" s="6" t="str">
        <f>"202141042908"</f>
        <v>202141042908</v>
      </c>
      <c r="E4359" s="10" t="s">
        <v>28</v>
      </c>
      <c r="F4359" s="6" t="s">
        <v>29</v>
      </c>
      <c r="G4359" s="8">
        <v>60.1</v>
      </c>
      <c r="H4359" s="6"/>
    </row>
    <row r="4360" spans="1:8">
      <c r="A4360" s="5">
        <v>4251</v>
      </c>
      <c r="B4360" s="6" t="str">
        <f>"李小伟"</f>
        <v>李小伟</v>
      </c>
      <c r="C4360" s="6" t="str">
        <f t="shared" si="198"/>
        <v>女</v>
      </c>
      <c r="D4360" s="6" t="str">
        <f>"202141042909"</f>
        <v>202141042909</v>
      </c>
      <c r="E4360" s="10" t="s">
        <v>28</v>
      </c>
      <c r="F4360" s="6" t="s">
        <v>29</v>
      </c>
      <c r="G4360" s="8">
        <v>60.25</v>
      </c>
      <c r="H4360" s="6"/>
    </row>
    <row r="4361" spans="1:8">
      <c r="A4361" s="5">
        <v>4233</v>
      </c>
      <c r="B4361" s="6" t="str">
        <f>"邓洁"</f>
        <v>邓洁</v>
      </c>
      <c r="C4361" s="6" t="str">
        <f t="shared" si="198"/>
        <v>女</v>
      </c>
      <c r="D4361" s="6" t="str">
        <f>"202141042910"</f>
        <v>202141042910</v>
      </c>
      <c r="E4361" s="10" t="s">
        <v>28</v>
      </c>
      <c r="F4361" s="6" t="s">
        <v>29</v>
      </c>
      <c r="G4361" s="8">
        <v>53.2</v>
      </c>
      <c r="H4361" s="6"/>
    </row>
    <row r="4362" spans="1:8">
      <c r="A4362" s="5">
        <v>4217</v>
      </c>
      <c r="B4362" s="6" t="str">
        <f>"刘腊仙"</f>
        <v>刘腊仙</v>
      </c>
      <c r="C4362" s="6" t="str">
        <f t="shared" si="198"/>
        <v>女</v>
      </c>
      <c r="D4362" s="6" t="str">
        <f>"202141042911"</f>
        <v>202141042911</v>
      </c>
      <c r="E4362" s="10" t="s">
        <v>28</v>
      </c>
      <c r="F4362" s="6" t="s">
        <v>29</v>
      </c>
      <c r="G4362" s="8">
        <v>0</v>
      </c>
      <c r="H4362" s="9">
        <v>1</v>
      </c>
    </row>
    <row r="4363" spans="1:8">
      <c r="A4363" s="5">
        <v>4201</v>
      </c>
      <c r="B4363" s="6" t="str">
        <f>"李姚"</f>
        <v>李姚</v>
      </c>
      <c r="C4363" s="6" t="str">
        <f t="shared" si="198"/>
        <v>女</v>
      </c>
      <c r="D4363" s="6" t="str">
        <f>"202141042912"</f>
        <v>202141042912</v>
      </c>
      <c r="E4363" s="10" t="s">
        <v>28</v>
      </c>
      <c r="F4363" s="6" t="s">
        <v>29</v>
      </c>
      <c r="G4363" s="8">
        <v>62.1</v>
      </c>
      <c r="H4363" s="6"/>
    </row>
    <row r="4364" spans="1:8">
      <c r="A4364" s="5">
        <v>4250</v>
      </c>
      <c r="B4364" s="6" t="str">
        <f>"屈嘉晖"</f>
        <v>屈嘉晖</v>
      </c>
      <c r="C4364" s="6" t="str">
        <f t="shared" si="198"/>
        <v>女</v>
      </c>
      <c r="D4364" s="6" t="str">
        <f>"202141042913"</f>
        <v>202141042913</v>
      </c>
      <c r="E4364" s="10" t="s">
        <v>28</v>
      </c>
      <c r="F4364" s="6" t="s">
        <v>29</v>
      </c>
      <c r="G4364" s="8">
        <v>45.55</v>
      </c>
      <c r="H4364" s="6"/>
    </row>
    <row r="4365" spans="1:8">
      <c r="A4365" s="5">
        <v>4246</v>
      </c>
      <c r="B4365" s="6" t="str">
        <f>"戴美玲"</f>
        <v>戴美玲</v>
      </c>
      <c r="C4365" s="6" t="str">
        <f t="shared" si="198"/>
        <v>女</v>
      </c>
      <c r="D4365" s="6" t="str">
        <f>"202141042914"</f>
        <v>202141042914</v>
      </c>
      <c r="E4365" s="10" t="s">
        <v>28</v>
      </c>
      <c r="F4365" s="6" t="s">
        <v>29</v>
      </c>
      <c r="G4365" s="8">
        <v>64.400000000000006</v>
      </c>
      <c r="H4365" s="6"/>
    </row>
    <row r="4366" spans="1:8">
      <c r="A4366" s="5">
        <v>4252</v>
      </c>
      <c r="B4366" s="6" t="str">
        <f>"郑虹"</f>
        <v>郑虹</v>
      </c>
      <c r="C4366" s="6" t="str">
        <f t="shared" si="198"/>
        <v>女</v>
      </c>
      <c r="D4366" s="6" t="str">
        <f>"202141042915"</f>
        <v>202141042915</v>
      </c>
      <c r="E4366" s="10" t="s">
        <v>28</v>
      </c>
      <c r="F4366" s="6" t="s">
        <v>29</v>
      </c>
      <c r="G4366" s="8">
        <v>58.2</v>
      </c>
      <c r="H4366" s="6"/>
    </row>
    <row r="4367" spans="1:8">
      <c r="A4367" s="5">
        <v>4249</v>
      </c>
      <c r="B4367" s="6" t="str">
        <f>"蔡国敏"</f>
        <v>蔡国敏</v>
      </c>
      <c r="C4367" s="6" t="str">
        <f t="shared" si="198"/>
        <v>女</v>
      </c>
      <c r="D4367" s="6" t="str">
        <f>"202141042916"</f>
        <v>202141042916</v>
      </c>
      <c r="E4367" s="10" t="s">
        <v>28</v>
      </c>
      <c r="F4367" s="6" t="s">
        <v>29</v>
      </c>
      <c r="G4367" s="8">
        <v>66.3</v>
      </c>
      <c r="H4367" s="6"/>
    </row>
    <row r="4368" spans="1:8">
      <c r="A4368" s="5">
        <v>4207</v>
      </c>
      <c r="B4368" s="6" t="str">
        <f>"张倩"</f>
        <v>张倩</v>
      </c>
      <c r="C4368" s="6" t="str">
        <f t="shared" ref="C4368:C4401" si="199">"女"</f>
        <v>女</v>
      </c>
      <c r="D4368" s="6" t="str">
        <f>"202141042917"</f>
        <v>202141042917</v>
      </c>
      <c r="E4368" s="10" t="s">
        <v>28</v>
      </c>
      <c r="F4368" s="6" t="s">
        <v>29</v>
      </c>
      <c r="G4368" s="8">
        <v>60.2</v>
      </c>
      <c r="H4368" s="6"/>
    </row>
    <row r="4369" spans="1:8">
      <c r="A4369" s="5">
        <v>4222</v>
      </c>
      <c r="B4369" s="6" t="str">
        <f>"肖湘莲"</f>
        <v>肖湘莲</v>
      </c>
      <c r="C4369" s="6" t="str">
        <f t="shared" si="199"/>
        <v>女</v>
      </c>
      <c r="D4369" s="6" t="str">
        <f>"202141042918"</f>
        <v>202141042918</v>
      </c>
      <c r="E4369" s="10" t="s">
        <v>28</v>
      </c>
      <c r="F4369" s="6" t="s">
        <v>29</v>
      </c>
      <c r="G4369" s="8">
        <v>61.4</v>
      </c>
      <c r="H4369" s="6"/>
    </row>
    <row r="4370" spans="1:8">
      <c r="A4370" s="5">
        <v>4205</v>
      </c>
      <c r="B4370" s="6" t="str">
        <f>"王梓酽"</f>
        <v>王梓酽</v>
      </c>
      <c r="C4370" s="6" t="str">
        <f t="shared" si="199"/>
        <v>女</v>
      </c>
      <c r="D4370" s="6" t="str">
        <f>"202141042919"</f>
        <v>202141042919</v>
      </c>
      <c r="E4370" s="10" t="s">
        <v>28</v>
      </c>
      <c r="F4370" s="6" t="s">
        <v>29</v>
      </c>
      <c r="G4370" s="8">
        <v>58.65</v>
      </c>
      <c r="H4370" s="6"/>
    </row>
    <row r="4371" spans="1:8">
      <c r="A4371" s="5">
        <v>4225</v>
      </c>
      <c r="B4371" s="6" t="str">
        <f>"李丽洁"</f>
        <v>李丽洁</v>
      </c>
      <c r="C4371" s="6" t="str">
        <f t="shared" si="199"/>
        <v>女</v>
      </c>
      <c r="D4371" s="6" t="str">
        <f>"202141042920"</f>
        <v>202141042920</v>
      </c>
      <c r="E4371" s="10" t="s">
        <v>28</v>
      </c>
      <c r="F4371" s="6" t="s">
        <v>29</v>
      </c>
      <c r="G4371" s="8">
        <v>60.15</v>
      </c>
      <c r="H4371" s="6"/>
    </row>
    <row r="4372" spans="1:8">
      <c r="A4372" s="5">
        <v>4214</v>
      </c>
      <c r="B4372" s="6" t="str">
        <f>"张玉蓉"</f>
        <v>张玉蓉</v>
      </c>
      <c r="C4372" s="6" t="str">
        <f t="shared" si="199"/>
        <v>女</v>
      </c>
      <c r="D4372" s="6" t="str">
        <f>"202141042921"</f>
        <v>202141042921</v>
      </c>
      <c r="E4372" s="10" t="s">
        <v>28</v>
      </c>
      <c r="F4372" s="6" t="s">
        <v>29</v>
      </c>
      <c r="G4372" s="8">
        <v>57.9</v>
      </c>
      <c r="H4372" s="6"/>
    </row>
    <row r="4373" spans="1:8">
      <c r="A4373" s="5">
        <v>4241</v>
      </c>
      <c r="B4373" s="6" t="str">
        <f>"刘云"</f>
        <v>刘云</v>
      </c>
      <c r="C4373" s="6" t="str">
        <f t="shared" si="199"/>
        <v>女</v>
      </c>
      <c r="D4373" s="6" t="str">
        <f>"202141042922"</f>
        <v>202141042922</v>
      </c>
      <c r="E4373" s="10" t="s">
        <v>28</v>
      </c>
      <c r="F4373" s="6" t="s">
        <v>29</v>
      </c>
      <c r="G4373" s="8">
        <v>53.3</v>
      </c>
      <c r="H4373" s="6"/>
    </row>
    <row r="4374" spans="1:8">
      <c r="A4374" s="5">
        <v>4242</v>
      </c>
      <c r="B4374" s="6" t="str">
        <f>"宋紫玉"</f>
        <v>宋紫玉</v>
      </c>
      <c r="C4374" s="6" t="str">
        <f t="shared" si="199"/>
        <v>女</v>
      </c>
      <c r="D4374" s="6" t="str">
        <f>"202141042923"</f>
        <v>202141042923</v>
      </c>
      <c r="E4374" s="10" t="s">
        <v>28</v>
      </c>
      <c r="F4374" s="6" t="s">
        <v>29</v>
      </c>
      <c r="G4374" s="8">
        <v>62.25</v>
      </c>
      <c r="H4374" s="6"/>
    </row>
    <row r="4375" spans="1:8">
      <c r="A4375" s="5">
        <v>4218</v>
      </c>
      <c r="B4375" s="6" t="str">
        <f>"胡潇寒"</f>
        <v>胡潇寒</v>
      </c>
      <c r="C4375" s="6" t="str">
        <f t="shared" si="199"/>
        <v>女</v>
      </c>
      <c r="D4375" s="6" t="str">
        <f>"202141042924"</f>
        <v>202141042924</v>
      </c>
      <c r="E4375" s="10" t="s">
        <v>28</v>
      </c>
      <c r="F4375" s="6" t="s">
        <v>29</v>
      </c>
      <c r="G4375" s="8">
        <v>0</v>
      </c>
      <c r="H4375" s="9">
        <v>1</v>
      </c>
    </row>
    <row r="4376" spans="1:8">
      <c r="A4376" s="5">
        <v>4230</v>
      </c>
      <c r="B4376" s="6" t="str">
        <f>"陈璐"</f>
        <v>陈璐</v>
      </c>
      <c r="C4376" s="6" t="str">
        <f t="shared" si="199"/>
        <v>女</v>
      </c>
      <c r="D4376" s="6" t="str">
        <f>"202141042925"</f>
        <v>202141042925</v>
      </c>
      <c r="E4376" s="10" t="s">
        <v>28</v>
      </c>
      <c r="F4376" s="6" t="s">
        <v>29</v>
      </c>
      <c r="G4376" s="8">
        <v>60.05</v>
      </c>
      <c r="H4376" s="6"/>
    </row>
    <row r="4377" spans="1:8">
      <c r="A4377" s="5">
        <v>4239</v>
      </c>
      <c r="B4377" s="6" t="str">
        <f>"李媚雅"</f>
        <v>李媚雅</v>
      </c>
      <c r="C4377" s="6" t="str">
        <f t="shared" si="199"/>
        <v>女</v>
      </c>
      <c r="D4377" s="6" t="str">
        <f>"202141042926"</f>
        <v>202141042926</v>
      </c>
      <c r="E4377" s="10" t="s">
        <v>28</v>
      </c>
      <c r="F4377" s="6" t="s">
        <v>29</v>
      </c>
      <c r="G4377" s="8">
        <v>56.75</v>
      </c>
      <c r="H4377" s="6"/>
    </row>
    <row r="4378" spans="1:8">
      <c r="A4378" s="5">
        <v>4206</v>
      </c>
      <c r="B4378" s="6" t="str">
        <f>"杨钖"</f>
        <v>杨钖</v>
      </c>
      <c r="C4378" s="6" t="str">
        <f t="shared" si="199"/>
        <v>女</v>
      </c>
      <c r="D4378" s="6" t="str">
        <f>"202141042927"</f>
        <v>202141042927</v>
      </c>
      <c r="E4378" s="10" t="s">
        <v>28</v>
      </c>
      <c r="F4378" s="6" t="s">
        <v>29</v>
      </c>
      <c r="G4378" s="8">
        <v>53.9</v>
      </c>
      <c r="H4378" s="6"/>
    </row>
    <row r="4379" spans="1:8">
      <c r="A4379" s="5">
        <v>4234</v>
      </c>
      <c r="B4379" s="6" t="str">
        <f>"李蓉"</f>
        <v>李蓉</v>
      </c>
      <c r="C4379" s="6" t="str">
        <f t="shared" si="199"/>
        <v>女</v>
      </c>
      <c r="D4379" s="6" t="str">
        <f>"202141042928"</f>
        <v>202141042928</v>
      </c>
      <c r="E4379" s="10" t="s">
        <v>28</v>
      </c>
      <c r="F4379" s="6" t="s">
        <v>29</v>
      </c>
      <c r="G4379" s="8">
        <v>65.8</v>
      </c>
      <c r="H4379" s="6"/>
    </row>
    <row r="4380" spans="1:8">
      <c r="A4380" s="5">
        <v>4212</v>
      </c>
      <c r="B4380" s="6" t="str">
        <f>"李婷"</f>
        <v>李婷</v>
      </c>
      <c r="C4380" s="6" t="str">
        <f t="shared" si="199"/>
        <v>女</v>
      </c>
      <c r="D4380" s="6" t="str">
        <f>"202141042929"</f>
        <v>202141042929</v>
      </c>
      <c r="E4380" s="10" t="s">
        <v>28</v>
      </c>
      <c r="F4380" s="6" t="s">
        <v>29</v>
      </c>
      <c r="G4380" s="8">
        <v>0</v>
      </c>
      <c r="H4380" s="9">
        <v>1</v>
      </c>
    </row>
    <row r="4381" spans="1:8">
      <c r="A4381" s="5">
        <v>4226</v>
      </c>
      <c r="B4381" s="6" t="str">
        <f>"罗惠"</f>
        <v>罗惠</v>
      </c>
      <c r="C4381" s="6" t="str">
        <f t="shared" si="199"/>
        <v>女</v>
      </c>
      <c r="D4381" s="6" t="str">
        <f>"202141042930"</f>
        <v>202141042930</v>
      </c>
      <c r="E4381" s="10" t="s">
        <v>28</v>
      </c>
      <c r="F4381" s="6" t="s">
        <v>29</v>
      </c>
      <c r="G4381" s="8">
        <v>53.6</v>
      </c>
      <c r="H4381" s="6"/>
    </row>
    <row r="4382" spans="1:8">
      <c r="A4382" s="5">
        <v>4245</v>
      </c>
      <c r="B4382" s="6" t="str">
        <f>"曾怡"</f>
        <v>曾怡</v>
      </c>
      <c r="C4382" s="6" t="str">
        <f t="shared" si="199"/>
        <v>女</v>
      </c>
      <c r="D4382" s="6" t="str">
        <f>"202141043001"</f>
        <v>202141043001</v>
      </c>
      <c r="E4382" s="10" t="s">
        <v>28</v>
      </c>
      <c r="F4382" s="6" t="s">
        <v>29</v>
      </c>
      <c r="G4382" s="8">
        <v>54</v>
      </c>
      <c r="H4382" s="6"/>
    </row>
    <row r="4383" spans="1:8">
      <c r="A4383" s="5">
        <v>4238</v>
      </c>
      <c r="B4383" s="6" t="str">
        <f>"夏薇薇"</f>
        <v>夏薇薇</v>
      </c>
      <c r="C4383" s="6" t="str">
        <f t="shared" si="199"/>
        <v>女</v>
      </c>
      <c r="D4383" s="6" t="str">
        <f>"202141043002"</f>
        <v>202141043002</v>
      </c>
      <c r="E4383" s="10" t="s">
        <v>28</v>
      </c>
      <c r="F4383" s="6" t="s">
        <v>29</v>
      </c>
      <c r="G4383" s="8">
        <v>47.9</v>
      </c>
      <c r="H4383" s="6"/>
    </row>
    <row r="4384" spans="1:8">
      <c r="A4384" s="5">
        <v>4256</v>
      </c>
      <c r="B4384" s="6" t="str">
        <f>"肖婷"</f>
        <v>肖婷</v>
      </c>
      <c r="C4384" s="6" t="str">
        <f t="shared" si="199"/>
        <v>女</v>
      </c>
      <c r="D4384" s="6" t="str">
        <f>"202141043003"</f>
        <v>202141043003</v>
      </c>
      <c r="E4384" s="10" t="s">
        <v>28</v>
      </c>
      <c r="F4384" s="6" t="s">
        <v>29</v>
      </c>
      <c r="G4384" s="8">
        <v>55.2</v>
      </c>
      <c r="H4384" s="6"/>
    </row>
    <row r="4385" spans="1:8">
      <c r="A4385" s="5">
        <v>4232</v>
      </c>
      <c r="B4385" s="6" t="str">
        <f>"李楠艺"</f>
        <v>李楠艺</v>
      </c>
      <c r="C4385" s="6" t="str">
        <f t="shared" si="199"/>
        <v>女</v>
      </c>
      <c r="D4385" s="6" t="str">
        <f>"202141043004"</f>
        <v>202141043004</v>
      </c>
      <c r="E4385" s="10" t="s">
        <v>28</v>
      </c>
      <c r="F4385" s="6" t="s">
        <v>29</v>
      </c>
      <c r="G4385" s="8">
        <v>68.900000000000006</v>
      </c>
      <c r="H4385" s="6"/>
    </row>
    <row r="4386" spans="1:8">
      <c r="A4386" s="5">
        <v>4204</v>
      </c>
      <c r="B4386" s="6" t="str">
        <f>"刘艳"</f>
        <v>刘艳</v>
      </c>
      <c r="C4386" s="6" t="str">
        <f t="shared" si="199"/>
        <v>女</v>
      </c>
      <c r="D4386" s="6" t="str">
        <f>"202141043005"</f>
        <v>202141043005</v>
      </c>
      <c r="E4386" s="10" t="s">
        <v>28</v>
      </c>
      <c r="F4386" s="6" t="s">
        <v>29</v>
      </c>
      <c r="G4386" s="8">
        <v>0</v>
      </c>
      <c r="H4386" s="9">
        <v>1</v>
      </c>
    </row>
    <row r="4387" spans="1:8">
      <c r="A4387" s="5">
        <v>4219</v>
      </c>
      <c r="B4387" s="6" t="str">
        <f>"粟洋"</f>
        <v>粟洋</v>
      </c>
      <c r="C4387" s="6" t="str">
        <f t="shared" si="199"/>
        <v>女</v>
      </c>
      <c r="D4387" s="6" t="str">
        <f>"202141043006"</f>
        <v>202141043006</v>
      </c>
      <c r="E4387" s="10" t="s">
        <v>28</v>
      </c>
      <c r="F4387" s="6" t="s">
        <v>29</v>
      </c>
      <c r="G4387" s="8">
        <v>72.849999999999994</v>
      </c>
      <c r="H4387" s="6"/>
    </row>
    <row r="4388" spans="1:8">
      <c r="A4388" s="5">
        <v>4215</v>
      </c>
      <c r="B4388" s="6" t="str">
        <f>"林艳"</f>
        <v>林艳</v>
      </c>
      <c r="C4388" s="6" t="str">
        <f t="shared" si="199"/>
        <v>女</v>
      </c>
      <c r="D4388" s="6" t="str">
        <f>"202141043007"</f>
        <v>202141043007</v>
      </c>
      <c r="E4388" s="10" t="s">
        <v>28</v>
      </c>
      <c r="F4388" s="6" t="s">
        <v>29</v>
      </c>
      <c r="G4388" s="8">
        <v>54.65</v>
      </c>
      <c r="H4388" s="6"/>
    </row>
    <row r="4389" spans="1:8">
      <c r="A4389" s="5">
        <v>4213</v>
      </c>
      <c r="B4389" s="6" t="str">
        <f>"唐雅琼"</f>
        <v>唐雅琼</v>
      </c>
      <c r="C4389" s="6" t="str">
        <f t="shared" si="199"/>
        <v>女</v>
      </c>
      <c r="D4389" s="6" t="str">
        <f>"202141043008"</f>
        <v>202141043008</v>
      </c>
      <c r="E4389" s="10" t="s">
        <v>28</v>
      </c>
      <c r="F4389" s="6" t="s">
        <v>29</v>
      </c>
      <c r="G4389" s="8">
        <v>0</v>
      </c>
      <c r="H4389" s="9">
        <v>1</v>
      </c>
    </row>
    <row r="4390" spans="1:8">
      <c r="A4390" s="5">
        <v>4199</v>
      </c>
      <c r="B4390" s="6" t="str">
        <f>"程双娟"</f>
        <v>程双娟</v>
      </c>
      <c r="C4390" s="6" t="str">
        <f t="shared" si="199"/>
        <v>女</v>
      </c>
      <c r="D4390" s="6" t="str">
        <f>"202141043009"</f>
        <v>202141043009</v>
      </c>
      <c r="E4390" s="10" t="s">
        <v>28</v>
      </c>
      <c r="F4390" s="6" t="s">
        <v>29</v>
      </c>
      <c r="G4390" s="8">
        <v>0</v>
      </c>
      <c r="H4390" s="9">
        <v>1</v>
      </c>
    </row>
    <row r="4391" spans="1:8">
      <c r="A4391" s="5">
        <v>4216</v>
      </c>
      <c r="B4391" s="6" t="str">
        <f>"沈湘梅"</f>
        <v>沈湘梅</v>
      </c>
      <c r="C4391" s="6" t="str">
        <f t="shared" si="199"/>
        <v>女</v>
      </c>
      <c r="D4391" s="6" t="str">
        <f>"202141043010"</f>
        <v>202141043010</v>
      </c>
      <c r="E4391" s="10" t="s">
        <v>28</v>
      </c>
      <c r="F4391" s="6" t="s">
        <v>29</v>
      </c>
      <c r="G4391" s="8">
        <v>65.45</v>
      </c>
      <c r="H4391" s="6"/>
    </row>
    <row r="4392" spans="1:8">
      <c r="A4392" s="5">
        <v>4221</v>
      </c>
      <c r="B4392" s="6" t="str">
        <f>"舒雅婕"</f>
        <v>舒雅婕</v>
      </c>
      <c r="C4392" s="6" t="str">
        <f t="shared" si="199"/>
        <v>女</v>
      </c>
      <c r="D4392" s="6" t="str">
        <f>"202141043011"</f>
        <v>202141043011</v>
      </c>
      <c r="E4392" s="10" t="s">
        <v>28</v>
      </c>
      <c r="F4392" s="6" t="s">
        <v>29</v>
      </c>
      <c r="G4392" s="8">
        <v>63.95</v>
      </c>
      <c r="H4392" s="6"/>
    </row>
    <row r="4393" spans="1:8">
      <c r="A4393" s="5">
        <v>4235</v>
      </c>
      <c r="B4393" s="6" t="str">
        <f>"黄文萍"</f>
        <v>黄文萍</v>
      </c>
      <c r="C4393" s="6" t="str">
        <f t="shared" si="199"/>
        <v>女</v>
      </c>
      <c r="D4393" s="6" t="str">
        <f>"202141043012"</f>
        <v>202141043012</v>
      </c>
      <c r="E4393" s="10" t="s">
        <v>28</v>
      </c>
      <c r="F4393" s="6" t="s">
        <v>29</v>
      </c>
      <c r="G4393" s="8">
        <v>67.3</v>
      </c>
      <c r="H4393" s="6"/>
    </row>
    <row r="4394" spans="1:8">
      <c r="A4394" s="5">
        <v>4254</v>
      </c>
      <c r="B4394" s="6" t="str">
        <f>"胡思思"</f>
        <v>胡思思</v>
      </c>
      <c r="C4394" s="6" t="str">
        <f t="shared" si="199"/>
        <v>女</v>
      </c>
      <c r="D4394" s="6" t="str">
        <f>"202141043013"</f>
        <v>202141043013</v>
      </c>
      <c r="E4394" s="10" t="s">
        <v>28</v>
      </c>
      <c r="F4394" s="6" t="s">
        <v>29</v>
      </c>
      <c r="G4394" s="8">
        <v>39.35</v>
      </c>
      <c r="H4394" s="6"/>
    </row>
    <row r="4395" spans="1:8">
      <c r="A4395" s="5">
        <v>4209</v>
      </c>
      <c r="B4395" s="6" t="str">
        <f>"刘青"</f>
        <v>刘青</v>
      </c>
      <c r="C4395" s="6" t="str">
        <f t="shared" si="199"/>
        <v>女</v>
      </c>
      <c r="D4395" s="6" t="str">
        <f>"202141043014"</f>
        <v>202141043014</v>
      </c>
      <c r="E4395" s="10" t="s">
        <v>28</v>
      </c>
      <c r="F4395" s="6" t="s">
        <v>29</v>
      </c>
      <c r="G4395" s="8">
        <v>67.400000000000006</v>
      </c>
      <c r="H4395" s="6"/>
    </row>
    <row r="4396" spans="1:8">
      <c r="A4396" s="5">
        <v>4211</v>
      </c>
      <c r="B4396" s="6" t="str">
        <f>"谭雯"</f>
        <v>谭雯</v>
      </c>
      <c r="C4396" s="6" t="str">
        <f t="shared" si="199"/>
        <v>女</v>
      </c>
      <c r="D4396" s="6" t="str">
        <f>"202141043015"</f>
        <v>202141043015</v>
      </c>
      <c r="E4396" s="10" t="s">
        <v>28</v>
      </c>
      <c r="F4396" s="6" t="s">
        <v>29</v>
      </c>
      <c r="G4396" s="8">
        <v>0</v>
      </c>
      <c r="H4396" s="9">
        <v>1</v>
      </c>
    </row>
    <row r="4397" spans="1:8">
      <c r="A4397" s="5">
        <v>4208</v>
      </c>
      <c r="B4397" s="6" t="str">
        <f>"胡菀倪"</f>
        <v>胡菀倪</v>
      </c>
      <c r="C4397" s="6" t="str">
        <f t="shared" si="199"/>
        <v>女</v>
      </c>
      <c r="D4397" s="6" t="str">
        <f>"202141043016"</f>
        <v>202141043016</v>
      </c>
      <c r="E4397" s="10" t="s">
        <v>28</v>
      </c>
      <c r="F4397" s="6" t="s">
        <v>29</v>
      </c>
      <c r="G4397" s="8">
        <v>48.25</v>
      </c>
      <c r="H4397" s="6"/>
    </row>
    <row r="4398" spans="1:8">
      <c r="A4398" s="5">
        <v>4223</v>
      </c>
      <c r="B4398" s="6" t="str">
        <f>"孙梦思"</f>
        <v>孙梦思</v>
      </c>
      <c r="C4398" s="6" t="str">
        <f t="shared" si="199"/>
        <v>女</v>
      </c>
      <c r="D4398" s="6" t="str">
        <f>"202141043017"</f>
        <v>202141043017</v>
      </c>
      <c r="E4398" s="10" t="s">
        <v>28</v>
      </c>
      <c r="F4398" s="6" t="s">
        <v>29</v>
      </c>
      <c r="G4398" s="8">
        <v>51.9</v>
      </c>
      <c r="H4398" s="6"/>
    </row>
    <row r="4399" spans="1:8">
      <c r="A4399" s="5">
        <v>4237</v>
      </c>
      <c r="B4399" s="6" t="str">
        <f>"李美红"</f>
        <v>李美红</v>
      </c>
      <c r="C4399" s="6" t="str">
        <f t="shared" si="199"/>
        <v>女</v>
      </c>
      <c r="D4399" s="6" t="str">
        <f>"202141043018"</f>
        <v>202141043018</v>
      </c>
      <c r="E4399" s="10" t="s">
        <v>28</v>
      </c>
      <c r="F4399" s="6" t="s">
        <v>29</v>
      </c>
      <c r="G4399" s="8">
        <v>58.75</v>
      </c>
      <c r="H4399" s="6"/>
    </row>
    <row r="4400" spans="1:8">
      <c r="A4400" s="5">
        <v>4257</v>
      </c>
      <c r="B4400" s="6" t="str">
        <f>"吴未秋"</f>
        <v>吴未秋</v>
      </c>
      <c r="C4400" s="6" t="str">
        <f t="shared" si="199"/>
        <v>女</v>
      </c>
      <c r="D4400" s="6" t="str">
        <f>"202141043019"</f>
        <v>202141043019</v>
      </c>
      <c r="E4400" s="10" t="s">
        <v>28</v>
      </c>
      <c r="F4400" s="6" t="s">
        <v>29</v>
      </c>
      <c r="G4400" s="8">
        <v>42.75</v>
      </c>
      <c r="H4400" s="6"/>
    </row>
    <row r="4401" spans="1:8">
      <c r="A4401" s="5">
        <v>4236</v>
      </c>
      <c r="B4401" s="6" t="str">
        <f>"朱乙丹"</f>
        <v>朱乙丹</v>
      </c>
      <c r="C4401" s="6" t="str">
        <f t="shared" si="199"/>
        <v>女</v>
      </c>
      <c r="D4401" s="6" t="str">
        <f>"202141043020"</f>
        <v>202141043020</v>
      </c>
      <c r="E4401" s="10" t="s">
        <v>28</v>
      </c>
      <c r="F4401" s="6" t="s">
        <v>29</v>
      </c>
      <c r="G4401" s="8">
        <v>69.099999999999994</v>
      </c>
      <c r="H4401" s="6"/>
    </row>
    <row r="4402" spans="1:8" ht="32.1" customHeight="1">
      <c r="A4402" s="13" t="s">
        <v>30</v>
      </c>
      <c r="B4402" s="13"/>
      <c r="C4402" s="13"/>
      <c r="D4402" s="13"/>
      <c r="E4402" s="13"/>
      <c r="F4402" s="13"/>
      <c r="G4402" s="13"/>
      <c r="H4402" s="13"/>
    </row>
  </sheetData>
  <sortState ref="D1:D4399">
    <sortCondition ref="D1"/>
  </sortState>
  <mergeCells count="2">
    <mergeCell ref="A4402:H4402"/>
    <mergeCell ref="A1:H1"/>
  </mergeCells>
  <phoneticPr fontId="6" type="noConversion"/>
  <printOptions horizontalCentered="1"/>
  <pageMargins left="0.35416666666666702" right="0.35416666666666702" top="0.39305555555555599" bottom="0.39305555555555599" header="0.118055555555556" footer="0.118055555555556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招教(发布)</vt:lpstr>
      <vt:lpstr>'招教(发布)'!Print_Area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2021-06-19T05:16:00Z</cp:lastPrinted>
  <dcterms:created xsi:type="dcterms:W3CDTF">2021-06-11T00:01:00Z</dcterms:created>
  <dcterms:modified xsi:type="dcterms:W3CDTF">2021-06-23T03:11:35Z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83AF83E2E51F45829A53E1FDB5893D68</vt:lpwstr>
  </property>
  <property fmtid="{D5CDD505-2E9C-101B-9397-08002B2CF9AE}" pid="3" name="KSOProductBuildVer">
    <vt:lpwstr>2052-11.1.0.9021</vt:lpwstr>
  </property>
</Properties>
</file>