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<sst xmlns="http://schemas.openxmlformats.org/spreadsheetml/2006/main" count="372" uniqueCount="43">
  <si>
    <t>2021年泗县面向社会公开招聘幼儿园教师拟聘用人员名单</t>
  </si>
  <si>
    <t>序号</t>
  </si>
  <si>
    <t>岗位代码</t>
  </si>
  <si>
    <t>聘用单位</t>
  </si>
  <si>
    <t>招聘岗位所需资格条件</t>
  </si>
  <si>
    <t>准考证号</t>
  </si>
  <si>
    <t>姓名</t>
  </si>
  <si>
    <t>毕业院校</t>
  </si>
  <si>
    <t>学历</t>
  </si>
  <si>
    <t>总成绩</t>
  </si>
  <si>
    <t>专业</t>
  </si>
  <si>
    <t>年龄</t>
  </si>
  <si>
    <t>其他</t>
  </si>
  <si>
    <t>备注</t>
  </si>
  <si>
    <t>县直幼儿园</t>
  </si>
  <si>
    <t>不限</t>
  </si>
  <si>
    <t>大专及以上</t>
  </si>
  <si>
    <t>35周岁以下</t>
  </si>
  <si>
    <t>幼儿园教师资格证</t>
  </si>
  <si>
    <t>应届毕业生</t>
  </si>
  <si>
    <t>雪枫幼儿园</t>
  </si>
  <si>
    <t>思源实验学校下属幼儿园</t>
  </si>
  <si>
    <t>泗城镇下属中心幼儿园</t>
  </si>
  <si>
    <t>长沟镇下属中心幼儿园</t>
  </si>
  <si>
    <t>大庄镇下属中心幼儿园</t>
  </si>
  <si>
    <t>黑塔镇下属中心幼儿园</t>
  </si>
  <si>
    <t>瓦坊镇下属中心幼儿园</t>
  </si>
  <si>
    <t>屏山镇下属中心幼儿园</t>
  </si>
  <si>
    <t>大路口镇下属中心幼儿园</t>
  </si>
  <si>
    <t>刘圩镇下属中心幼儿园</t>
  </si>
  <si>
    <t>马鞍山师范高等专科学校</t>
  </si>
  <si>
    <t>墩集镇下属中心幼儿园</t>
  </si>
  <si>
    <t>丁湖镇下属中心幼儿园</t>
  </si>
  <si>
    <t>草庙镇下属中心幼儿园</t>
  </si>
  <si>
    <t>开发区中心幼儿园</t>
  </si>
  <si>
    <t>宁波教育学院</t>
  </si>
  <si>
    <t>中专及以上</t>
  </si>
  <si>
    <t>限泗县户籍人员报考</t>
  </si>
  <si>
    <t>草沟镇下属中心幼儿园</t>
  </si>
  <si>
    <t>山头镇下属中心幼儿园</t>
  </si>
  <si>
    <t>大杨乡下属中心幼儿园</t>
  </si>
  <si>
    <t>宿州学院</t>
  </si>
  <si>
    <t>黄圩镇下属中心幼儿园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</si>
</sst>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5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0"/>
      <name val="宋体"/>
      <family val="0"/>
    </font>
    <font>
      <b/>
      <sz val="20"/>
      <name val="黑体"/>
      <family val="3"/>
    </font>
    <font>
      <b/>
      <sz val="12"/>
      <name val="黑体"/>
      <family val="3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0"/>
      <name val="Helv"/>
      <family val="2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9" fillId="0" borderId="0">
      <alignment/>
      <protection/>
    </xf>
    <xf numFmtId="0" fontId="22" fillId="0" borderId="0">
      <alignment/>
      <protection/>
    </xf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7" fontId="5" fillId="0" borderId="9" xfId="63" applyNumberFormat="1" applyFont="1" applyBorder="1" applyAlignment="1">
      <alignment horizontal="center" vertical="center" wrapText="1"/>
      <protection/>
    </xf>
    <xf numFmtId="0" fontId="5" fillId="0" borderId="9" xfId="63" applyFont="1" applyBorder="1" applyAlignment="1">
      <alignment horizontal="center" vertical="center" wrapText="1"/>
      <protection/>
    </xf>
    <xf numFmtId="0" fontId="5" fillId="0" borderId="9" xfId="64" applyFont="1" applyBorder="1" applyAlignment="1">
      <alignment horizontal="center" vertical="center" wrapText="1"/>
      <protection/>
    </xf>
    <xf numFmtId="0" fontId="5" fillId="0" borderId="9" xfId="64" applyFont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64" applyFont="1" applyFill="1" applyBorder="1" applyAlignment="1">
      <alignment horizontal="center" vertical="center" wrapText="1"/>
      <protection/>
    </xf>
    <xf numFmtId="0" fontId="2" fillId="0" borderId="9" xfId="64" applyFont="1" applyBorder="1" applyAlignment="1">
      <alignment horizontal="center" vertical="center" wrapText="1"/>
      <protection/>
    </xf>
    <xf numFmtId="49" fontId="5" fillId="0" borderId="9" xfId="63" applyNumberFormat="1" applyFont="1" applyBorder="1" applyAlignment="1">
      <alignment horizontal="center" vertical="center" wrapText="1"/>
      <protection/>
    </xf>
    <xf numFmtId="176" fontId="5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  <cellStyle name="常规 5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workbookViewId="0" topLeftCell="A49">
      <selection activeCell="O53" sqref="O53"/>
    </sheetView>
  </sheetViews>
  <sheetFormatPr defaultColWidth="9.00390625" defaultRowHeight="14.25"/>
  <cols>
    <col min="1" max="1" width="4.125" style="6" customWidth="1"/>
    <col min="2" max="2" width="8.75390625" style="6" customWidth="1"/>
    <col min="3" max="3" width="16.125" style="6" customWidth="1"/>
    <col min="4" max="4" width="4.625" style="6" customWidth="1"/>
    <col min="5" max="5" width="7.50390625" style="6" customWidth="1"/>
    <col min="6" max="6" width="8.00390625" style="6" customWidth="1"/>
    <col min="7" max="7" width="11.625" style="6" customWidth="1"/>
    <col min="8" max="8" width="10.625" style="6" customWidth="1"/>
    <col min="9" max="9" width="10.75390625" style="6" customWidth="1"/>
    <col min="10" max="10" width="7.875" style="6" customWidth="1"/>
    <col min="11" max="11" width="16.125" style="6" customWidth="1"/>
    <col min="12" max="12" width="7.00390625" style="6" customWidth="1"/>
    <col min="13" max="13" width="9.375" style="7" customWidth="1"/>
    <col min="14" max="16384" width="9.00390625" style="6" customWidth="1"/>
  </cols>
  <sheetData>
    <row r="1" spans="1:13" ht="4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1.75" customHeight="1">
      <c r="A2" s="9" t="s">
        <v>1</v>
      </c>
      <c r="B2" s="9" t="s">
        <v>2</v>
      </c>
      <c r="C2" s="10" t="s">
        <v>3</v>
      </c>
      <c r="D2" s="11" t="s">
        <v>4</v>
      </c>
      <c r="E2" s="11"/>
      <c r="F2" s="11"/>
      <c r="G2" s="11"/>
      <c r="H2" s="11"/>
      <c r="I2" s="17" t="s">
        <v>5</v>
      </c>
      <c r="J2" s="10" t="s">
        <v>6</v>
      </c>
      <c r="K2" s="10" t="s">
        <v>7</v>
      </c>
      <c r="L2" s="10" t="s">
        <v>8</v>
      </c>
      <c r="M2" s="18" t="s">
        <v>9</v>
      </c>
    </row>
    <row r="3" spans="1:13" ht="31.5" customHeight="1">
      <c r="A3" s="9"/>
      <c r="B3" s="9"/>
      <c r="C3" s="10"/>
      <c r="D3" s="12" t="s">
        <v>10</v>
      </c>
      <c r="E3" s="12" t="s">
        <v>8</v>
      </c>
      <c r="F3" s="12" t="s">
        <v>11</v>
      </c>
      <c r="G3" s="12" t="s">
        <v>12</v>
      </c>
      <c r="H3" s="12" t="s">
        <v>13</v>
      </c>
      <c r="I3" s="17"/>
      <c r="J3" s="10"/>
      <c r="K3" s="10"/>
      <c r="L3" s="10"/>
      <c r="M3" s="18"/>
    </row>
    <row r="4" spans="1:13" s="1" customFormat="1" ht="34.5" customHeight="1">
      <c r="A4" s="13">
        <v>1</v>
      </c>
      <c r="B4" s="13" t="str">
        <f>"20210101"</f>
        <v>20210101</v>
      </c>
      <c r="C4" s="14" t="s">
        <v>14</v>
      </c>
      <c r="D4" s="15" t="s">
        <v>15</v>
      </c>
      <c r="E4" s="15" t="s">
        <v>16</v>
      </c>
      <c r="F4" s="15" t="s">
        <v>17</v>
      </c>
      <c r="G4" s="15" t="s">
        <v>18</v>
      </c>
      <c r="H4" s="16" t="s">
        <v>19</v>
      </c>
      <c r="I4" s="13" t="str">
        <f>"2101010118"</f>
        <v>2101010118</v>
      </c>
      <c r="J4" s="13" t="str">
        <f>"周聪慧"</f>
        <v>周聪慧</v>
      </c>
      <c r="K4" s="14" t="str">
        <f>"徐州幼儿师范高等专科学校"</f>
        <v>徐州幼儿师范高等专科学校</v>
      </c>
      <c r="L4" s="13" t="str">
        <f aca="true" t="shared" si="0" ref="L4:L8">"专科"</f>
        <v>专科</v>
      </c>
      <c r="M4" s="19">
        <v>77.44166666666666</v>
      </c>
    </row>
    <row r="5" spans="1:13" s="1" customFormat="1" ht="34.5" customHeight="1">
      <c r="A5" s="13">
        <v>2</v>
      </c>
      <c r="B5" s="13" t="str">
        <f>"20210101"</f>
        <v>20210101</v>
      </c>
      <c r="C5" s="14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6" t="s">
        <v>19</v>
      </c>
      <c r="I5" s="13" t="str">
        <f>"2101010103"</f>
        <v>2101010103</v>
      </c>
      <c r="J5" s="13" t="str">
        <f>"林维维"</f>
        <v>林维维</v>
      </c>
      <c r="K5" s="14" t="str">
        <f>"宜春幼儿师范高等专科学校"</f>
        <v>宜春幼儿师范高等专科学校</v>
      </c>
      <c r="L5" s="13" t="str">
        <f t="shared" si="0"/>
        <v>专科</v>
      </c>
      <c r="M5" s="19">
        <v>74.74166666666667</v>
      </c>
    </row>
    <row r="6" spans="1:13" s="1" customFormat="1" ht="34.5" customHeight="1">
      <c r="A6" s="13">
        <v>3</v>
      </c>
      <c r="B6" s="13" t="str">
        <f aca="true" t="shared" si="1" ref="B6:B9">"20210102"</f>
        <v>20210102</v>
      </c>
      <c r="C6" s="14" t="s">
        <v>20</v>
      </c>
      <c r="D6" s="15" t="s">
        <v>15</v>
      </c>
      <c r="E6" s="15" t="s">
        <v>16</v>
      </c>
      <c r="F6" s="15" t="s">
        <v>17</v>
      </c>
      <c r="G6" s="15" t="s">
        <v>18</v>
      </c>
      <c r="H6" s="16" t="s">
        <v>19</v>
      </c>
      <c r="I6" s="13" t="str">
        <f>"2101020220"</f>
        <v>2101020220</v>
      </c>
      <c r="J6" s="13" t="str">
        <f>"李淑凝"</f>
        <v>李淑凝</v>
      </c>
      <c r="K6" s="14" t="str">
        <f>"合肥师范学院"</f>
        <v>合肥师范学院</v>
      </c>
      <c r="L6" s="13" t="str">
        <f t="shared" si="0"/>
        <v>专科</v>
      </c>
      <c r="M6" s="19">
        <v>80.7</v>
      </c>
    </row>
    <row r="7" spans="1:13" s="1" customFormat="1" ht="34.5" customHeight="1">
      <c r="A7" s="13">
        <v>4</v>
      </c>
      <c r="B7" s="13" t="str">
        <f t="shared" si="1"/>
        <v>20210102</v>
      </c>
      <c r="C7" s="14" t="s">
        <v>20</v>
      </c>
      <c r="D7" s="15" t="s">
        <v>15</v>
      </c>
      <c r="E7" s="15" t="s">
        <v>16</v>
      </c>
      <c r="F7" s="15" t="s">
        <v>17</v>
      </c>
      <c r="G7" s="15" t="s">
        <v>18</v>
      </c>
      <c r="H7" s="16" t="s">
        <v>19</v>
      </c>
      <c r="I7" s="13" t="str">
        <f>"2101020206"</f>
        <v>2101020206</v>
      </c>
      <c r="J7" s="13" t="str">
        <f>"张苏宁"</f>
        <v>张苏宁</v>
      </c>
      <c r="K7" s="14" t="str">
        <f>"马鞍山师范高等专科学校"</f>
        <v>马鞍山师范高等专科学校</v>
      </c>
      <c r="L7" s="13" t="str">
        <f t="shared" si="0"/>
        <v>专科</v>
      </c>
      <c r="M7" s="19">
        <v>78.39166666666668</v>
      </c>
    </row>
    <row r="8" spans="1:13" s="1" customFormat="1" ht="34.5" customHeight="1">
      <c r="A8" s="13">
        <v>5</v>
      </c>
      <c r="B8" s="13" t="str">
        <f t="shared" si="1"/>
        <v>20210102</v>
      </c>
      <c r="C8" s="14" t="s">
        <v>20</v>
      </c>
      <c r="D8" s="15" t="s">
        <v>15</v>
      </c>
      <c r="E8" s="15" t="s">
        <v>16</v>
      </c>
      <c r="F8" s="15" t="s">
        <v>17</v>
      </c>
      <c r="G8" s="15" t="s">
        <v>18</v>
      </c>
      <c r="H8" s="16" t="s">
        <v>19</v>
      </c>
      <c r="I8" s="13" t="str">
        <f>"2101020204"</f>
        <v>2101020204</v>
      </c>
      <c r="J8" s="13" t="str">
        <f>"洪丹丹"</f>
        <v>洪丹丹</v>
      </c>
      <c r="K8" s="14" t="str">
        <f>"马鞍山师范高等专科学校"</f>
        <v>马鞍山师范高等专科学校</v>
      </c>
      <c r="L8" s="13" t="str">
        <f t="shared" si="0"/>
        <v>专科</v>
      </c>
      <c r="M8" s="19">
        <v>76.98333333333333</v>
      </c>
    </row>
    <row r="9" spans="1:13" s="1" customFormat="1" ht="34.5" customHeight="1">
      <c r="A9" s="13">
        <v>6</v>
      </c>
      <c r="B9" s="13" t="str">
        <f t="shared" si="1"/>
        <v>20210102</v>
      </c>
      <c r="C9" s="14" t="s">
        <v>20</v>
      </c>
      <c r="D9" s="15" t="s">
        <v>15</v>
      </c>
      <c r="E9" s="15" t="s">
        <v>16</v>
      </c>
      <c r="F9" s="15" t="s">
        <v>17</v>
      </c>
      <c r="G9" s="15" t="s">
        <v>18</v>
      </c>
      <c r="H9" s="16" t="s">
        <v>19</v>
      </c>
      <c r="I9" s="13" t="str">
        <f>"2101020211"</f>
        <v>2101020211</v>
      </c>
      <c r="J9" s="13" t="str">
        <f>"王玉萍"</f>
        <v>王玉萍</v>
      </c>
      <c r="K9" s="14" t="str">
        <f>"亳州学院"</f>
        <v>亳州学院</v>
      </c>
      <c r="L9" s="13" t="str">
        <f aca="true" t="shared" si="2" ref="L9:L24">"专科"</f>
        <v>专科</v>
      </c>
      <c r="M9" s="19">
        <v>76.05833333333334</v>
      </c>
    </row>
    <row r="10" spans="1:13" s="1" customFormat="1" ht="34.5" customHeight="1">
      <c r="A10" s="13">
        <v>7</v>
      </c>
      <c r="B10" s="13" t="str">
        <f aca="true" t="shared" si="3" ref="B10:B13">"20210103"</f>
        <v>20210103</v>
      </c>
      <c r="C10" s="14" t="s">
        <v>21</v>
      </c>
      <c r="D10" s="15" t="s">
        <v>15</v>
      </c>
      <c r="E10" s="15" t="s">
        <v>16</v>
      </c>
      <c r="F10" s="15" t="s">
        <v>17</v>
      </c>
      <c r="G10" s="15" t="s">
        <v>18</v>
      </c>
      <c r="H10" s="16" t="s">
        <v>19</v>
      </c>
      <c r="I10" s="13" t="str">
        <f>"2101030306"</f>
        <v>2101030306</v>
      </c>
      <c r="J10" s="13" t="str">
        <f>"周陈"</f>
        <v>周陈</v>
      </c>
      <c r="K10" s="14" t="str">
        <f>"合肥幼儿师范高等专科学校"</f>
        <v>合肥幼儿师范高等专科学校</v>
      </c>
      <c r="L10" s="13" t="str">
        <f t="shared" si="2"/>
        <v>专科</v>
      </c>
      <c r="M10" s="19">
        <v>76.55833333333334</v>
      </c>
    </row>
    <row r="11" spans="1:13" s="1" customFormat="1" ht="34.5" customHeight="1">
      <c r="A11" s="13">
        <v>8</v>
      </c>
      <c r="B11" s="13" t="str">
        <f t="shared" si="3"/>
        <v>20210103</v>
      </c>
      <c r="C11" s="14" t="s">
        <v>21</v>
      </c>
      <c r="D11" s="15" t="s">
        <v>15</v>
      </c>
      <c r="E11" s="15" t="s">
        <v>16</v>
      </c>
      <c r="F11" s="15" t="s">
        <v>17</v>
      </c>
      <c r="G11" s="15" t="s">
        <v>18</v>
      </c>
      <c r="H11" s="16" t="s">
        <v>19</v>
      </c>
      <c r="I11" s="13" t="str">
        <f>"2101030308"</f>
        <v>2101030308</v>
      </c>
      <c r="J11" s="13" t="str">
        <f>"程雨晴"</f>
        <v>程雨晴</v>
      </c>
      <c r="K11" s="14" t="str">
        <f>"阜阳职业技术学院"</f>
        <v>阜阳职业技术学院</v>
      </c>
      <c r="L11" s="13" t="str">
        <f t="shared" si="2"/>
        <v>专科</v>
      </c>
      <c r="M11" s="19">
        <v>76.30833333333334</v>
      </c>
    </row>
    <row r="12" spans="1:13" s="2" customFormat="1" ht="34.5" customHeight="1">
      <c r="A12" s="13">
        <v>9</v>
      </c>
      <c r="B12" s="13" t="str">
        <f t="shared" si="3"/>
        <v>20210103</v>
      </c>
      <c r="C12" s="14" t="s">
        <v>21</v>
      </c>
      <c r="D12" s="15" t="s">
        <v>15</v>
      </c>
      <c r="E12" s="15" t="s">
        <v>16</v>
      </c>
      <c r="F12" s="15" t="s">
        <v>17</v>
      </c>
      <c r="G12" s="15" t="s">
        <v>18</v>
      </c>
      <c r="H12" s="16" t="s">
        <v>19</v>
      </c>
      <c r="I12" s="13" t="str">
        <f>"2101030322"</f>
        <v>2101030322</v>
      </c>
      <c r="J12" s="13" t="str">
        <f>"亢荣荣"</f>
        <v>亢荣荣</v>
      </c>
      <c r="K12" s="14" t="str">
        <f aca="true" t="shared" si="4" ref="K12:K16">"亳州学院"</f>
        <v>亳州学院</v>
      </c>
      <c r="L12" s="13" t="str">
        <f>"本科"</f>
        <v>本科</v>
      </c>
      <c r="M12" s="20">
        <v>75.56666666666666</v>
      </c>
    </row>
    <row r="13" spans="1:13" s="1" customFormat="1" ht="34.5" customHeight="1">
      <c r="A13" s="13">
        <v>10</v>
      </c>
      <c r="B13" s="13" t="str">
        <f t="shared" si="3"/>
        <v>20210103</v>
      </c>
      <c r="C13" s="14" t="s">
        <v>21</v>
      </c>
      <c r="D13" s="15" t="s">
        <v>15</v>
      </c>
      <c r="E13" s="15" t="s">
        <v>16</v>
      </c>
      <c r="F13" s="15" t="s">
        <v>17</v>
      </c>
      <c r="G13" s="15" t="s">
        <v>18</v>
      </c>
      <c r="H13" s="16" t="s">
        <v>19</v>
      </c>
      <c r="I13" s="13" t="str">
        <f>"2101030401"</f>
        <v>2101030401</v>
      </c>
      <c r="J13" s="13" t="str">
        <f>"朱露露"</f>
        <v>朱露露</v>
      </c>
      <c r="K13" s="14" t="str">
        <f>"合肥学院"</f>
        <v>合肥学院</v>
      </c>
      <c r="L13" s="13" t="str">
        <f>"本科"</f>
        <v>本科</v>
      </c>
      <c r="M13" s="19">
        <v>74.46666666666667</v>
      </c>
    </row>
    <row r="14" spans="1:13" s="1" customFormat="1" ht="34.5" customHeight="1">
      <c r="A14" s="13">
        <v>11</v>
      </c>
      <c r="B14" s="13" t="str">
        <f>"20210104"</f>
        <v>20210104</v>
      </c>
      <c r="C14" s="14" t="s">
        <v>22</v>
      </c>
      <c r="D14" s="15" t="s">
        <v>15</v>
      </c>
      <c r="E14" s="15" t="s">
        <v>16</v>
      </c>
      <c r="F14" s="15" t="s">
        <v>17</v>
      </c>
      <c r="G14" s="15" t="s">
        <v>18</v>
      </c>
      <c r="H14" s="16" t="s">
        <v>19</v>
      </c>
      <c r="I14" s="13" t="str">
        <f>"2101040420"</f>
        <v>2101040420</v>
      </c>
      <c r="J14" s="13" t="str">
        <f>"魏红梅"</f>
        <v>魏红梅</v>
      </c>
      <c r="K14" s="14" t="str">
        <f>"合肥职业技术学院"</f>
        <v>合肥职业技术学院</v>
      </c>
      <c r="L14" s="13" t="str">
        <f t="shared" si="2"/>
        <v>专科</v>
      </c>
      <c r="M14" s="19">
        <v>71.46666666666667</v>
      </c>
    </row>
    <row r="15" spans="1:13" s="1" customFormat="1" ht="34.5" customHeight="1">
      <c r="A15" s="13">
        <v>12</v>
      </c>
      <c r="B15" s="13" t="str">
        <f>"20210104"</f>
        <v>20210104</v>
      </c>
      <c r="C15" s="14" t="s">
        <v>22</v>
      </c>
      <c r="D15" s="15" t="s">
        <v>15</v>
      </c>
      <c r="E15" s="15" t="s">
        <v>16</v>
      </c>
      <c r="F15" s="15" t="s">
        <v>17</v>
      </c>
      <c r="G15" s="15" t="s">
        <v>18</v>
      </c>
      <c r="H15" s="16" t="s">
        <v>19</v>
      </c>
      <c r="I15" s="13" t="str">
        <f>"2101040412"</f>
        <v>2101040412</v>
      </c>
      <c r="J15" s="13" t="str">
        <f>"于敬"</f>
        <v>于敬</v>
      </c>
      <c r="K15" s="14" t="str">
        <f t="shared" si="4"/>
        <v>亳州学院</v>
      </c>
      <c r="L15" s="13" t="str">
        <f t="shared" si="2"/>
        <v>专科</v>
      </c>
      <c r="M15" s="19">
        <v>70.9</v>
      </c>
    </row>
    <row r="16" spans="1:13" s="1" customFormat="1" ht="34.5" customHeight="1">
      <c r="A16" s="13">
        <v>13</v>
      </c>
      <c r="B16" s="13" t="str">
        <f aca="true" t="shared" si="5" ref="B16:B18">"20210105"</f>
        <v>20210105</v>
      </c>
      <c r="C16" s="14" t="s">
        <v>23</v>
      </c>
      <c r="D16" s="15" t="s">
        <v>15</v>
      </c>
      <c r="E16" s="15" t="s">
        <v>16</v>
      </c>
      <c r="F16" s="15" t="s">
        <v>17</v>
      </c>
      <c r="G16" s="15" t="s">
        <v>18</v>
      </c>
      <c r="H16" s="16" t="s">
        <v>19</v>
      </c>
      <c r="I16" s="13" t="str">
        <f>"2101050425"</f>
        <v>2101050425</v>
      </c>
      <c r="J16" s="13" t="str">
        <f>"韦会"</f>
        <v>韦会</v>
      </c>
      <c r="K16" s="14" t="str">
        <f t="shared" si="4"/>
        <v>亳州学院</v>
      </c>
      <c r="L16" s="13" t="str">
        <f t="shared" si="2"/>
        <v>专科</v>
      </c>
      <c r="M16" s="19">
        <v>77.06666666666666</v>
      </c>
    </row>
    <row r="17" spans="1:13" s="1" customFormat="1" ht="34.5" customHeight="1">
      <c r="A17" s="13">
        <v>14</v>
      </c>
      <c r="B17" s="13" t="str">
        <f t="shared" si="5"/>
        <v>20210105</v>
      </c>
      <c r="C17" s="14" t="s">
        <v>23</v>
      </c>
      <c r="D17" s="15" t="s">
        <v>15</v>
      </c>
      <c r="E17" s="15" t="s">
        <v>16</v>
      </c>
      <c r="F17" s="15" t="s">
        <v>17</v>
      </c>
      <c r="G17" s="15" t="s">
        <v>18</v>
      </c>
      <c r="H17" s="16" t="s">
        <v>19</v>
      </c>
      <c r="I17" s="13" t="str">
        <f>"2101050426"</f>
        <v>2101050426</v>
      </c>
      <c r="J17" s="13" t="str">
        <f>"王莉"</f>
        <v>王莉</v>
      </c>
      <c r="K17" s="14" t="str">
        <f aca="true" t="shared" si="6" ref="K17:K22">"马鞍山师范高等专科学校"</f>
        <v>马鞍山师范高等专科学校</v>
      </c>
      <c r="L17" s="13" t="str">
        <f t="shared" si="2"/>
        <v>专科</v>
      </c>
      <c r="M17" s="19">
        <v>76.00833333333333</v>
      </c>
    </row>
    <row r="18" spans="1:13" s="1" customFormat="1" ht="34.5" customHeight="1">
      <c r="A18" s="13">
        <v>15</v>
      </c>
      <c r="B18" s="13" t="str">
        <f t="shared" si="5"/>
        <v>20210105</v>
      </c>
      <c r="C18" s="14" t="s">
        <v>23</v>
      </c>
      <c r="D18" s="15" t="s">
        <v>15</v>
      </c>
      <c r="E18" s="15" t="s">
        <v>16</v>
      </c>
      <c r="F18" s="15" t="s">
        <v>17</v>
      </c>
      <c r="G18" s="15" t="s">
        <v>18</v>
      </c>
      <c r="H18" s="16" t="s">
        <v>19</v>
      </c>
      <c r="I18" s="13" t="str">
        <f>"2101050424"</f>
        <v>2101050424</v>
      </c>
      <c r="J18" s="13" t="str">
        <f>"杨玉妹"</f>
        <v>杨玉妹</v>
      </c>
      <c r="K18" s="14" t="str">
        <f t="shared" si="6"/>
        <v>马鞍山师范高等专科学校</v>
      </c>
      <c r="L18" s="13" t="str">
        <f t="shared" si="2"/>
        <v>专科</v>
      </c>
      <c r="M18" s="19">
        <v>74.48333333333333</v>
      </c>
    </row>
    <row r="19" spans="1:13" s="1" customFormat="1" ht="34.5" customHeight="1">
      <c r="A19" s="13">
        <v>16</v>
      </c>
      <c r="B19" s="13" t="str">
        <f aca="true" t="shared" si="7" ref="B19:B22">"20210106"</f>
        <v>20210106</v>
      </c>
      <c r="C19" s="14" t="s">
        <v>24</v>
      </c>
      <c r="D19" s="15" t="s">
        <v>15</v>
      </c>
      <c r="E19" s="15" t="s">
        <v>16</v>
      </c>
      <c r="F19" s="15" t="s">
        <v>17</v>
      </c>
      <c r="G19" s="15" t="s">
        <v>18</v>
      </c>
      <c r="H19" s="16" t="s">
        <v>19</v>
      </c>
      <c r="I19" s="13" t="str">
        <f>"2101060511"</f>
        <v>2101060511</v>
      </c>
      <c r="J19" s="13" t="str">
        <f>"陈丹菲"</f>
        <v>陈丹菲</v>
      </c>
      <c r="K19" s="14" t="str">
        <f>"徐州幼儿师范高等专科学校"</f>
        <v>徐州幼儿师范高等专科学校</v>
      </c>
      <c r="L19" s="13" t="str">
        <f t="shared" si="2"/>
        <v>专科</v>
      </c>
      <c r="M19" s="19">
        <v>78.53333333333333</v>
      </c>
    </row>
    <row r="20" spans="1:13" s="1" customFormat="1" ht="34.5" customHeight="1">
      <c r="A20" s="13">
        <v>17</v>
      </c>
      <c r="B20" s="13" t="str">
        <f t="shared" si="7"/>
        <v>20210106</v>
      </c>
      <c r="C20" s="14" t="s">
        <v>24</v>
      </c>
      <c r="D20" s="15" t="s">
        <v>15</v>
      </c>
      <c r="E20" s="15" t="s">
        <v>16</v>
      </c>
      <c r="F20" s="15" t="s">
        <v>17</v>
      </c>
      <c r="G20" s="15" t="s">
        <v>18</v>
      </c>
      <c r="H20" s="16" t="s">
        <v>19</v>
      </c>
      <c r="I20" s="13" t="str">
        <f>"2101060529"</f>
        <v>2101060529</v>
      </c>
      <c r="J20" s="13" t="str">
        <f>"王远晴"</f>
        <v>王远晴</v>
      </c>
      <c r="K20" s="14" t="str">
        <f>"亳州学院"</f>
        <v>亳州学院</v>
      </c>
      <c r="L20" s="13" t="str">
        <f t="shared" si="2"/>
        <v>专科</v>
      </c>
      <c r="M20" s="19">
        <v>76.11666666666667</v>
      </c>
    </row>
    <row r="21" spans="1:13" s="1" customFormat="1" ht="34.5" customHeight="1">
      <c r="A21" s="13">
        <v>18</v>
      </c>
      <c r="B21" s="13" t="str">
        <f t="shared" si="7"/>
        <v>20210106</v>
      </c>
      <c r="C21" s="14" t="s">
        <v>24</v>
      </c>
      <c r="D21" s="15" t="s">
        <v>15</v>
      </c>
      <c r="E21" s="15" t="s">
        <v>16</v>
      </c>
      <c r="F21" s="15" t="s">
        <v>17</v>
      </c>
      <c r="G21" s="15" t="s">
        <v>18</v>
      </c>
      <c r="H21" s="16" t="s">
        <v>19</v>
      </c>
      <c r="I21" s="13" t="str">
        <f>"2101060514"</f>
        <v>2101060514</v>
      </c>
      <c r="J21" s="13" t="str">
        <f>"付晓君"</f>
        <v>付晓君</v>
      </c>
      <c r="K21" s="14" t="str">
        <f>"安徽省合肥幼儿师范高等专科学校"</f>
        <v>安徽省合肥幼儿师范高等专科学校</v>
      </c>
      <c r="L21" s="13" t="str">
        <f t="shared" si="2"/>
        <v>专科</v>
      </c>
      <c r="M21" s="19">
        <v>75.75833333333333</v>
      </c>
    </row>
    <row r="22" spans="1:13" s="1" customFormat="1" ht="34.5" customHeight="1">
      <c r="A22" s="13">
        <v>19</v>
      </c>
      <c r="B22" s="13" t="str">
        <f t="shared" si="7"/>
        <v>20210106</v>
      </c>
      <c r="C22" s="14" t="s">
        <v>24</v>
      </c>
      <c r="D22" s="15" t="s">
        <v>15</v>
      </c>
      <c r="E22" s="15" t="s">
        <v>16</v>
      </c>
      <c r="F22" s="15" t="s">
        <v>17</v>
      </c>
      <c r="G22" s="15" t="s">
        <v>18</v>
      </c>
      <c r="H22" s="16" t="s">
        <v>19</v>
      </c>
      <c r="I22" s="13" t="str">
        <f>"2101060524"</f>
        <v>2101060524</v>
      </c>
      <c r="J22" s="13" t="str">
        <f>"孙畅"</f>
        <v>孙畅</v>
      </c>
      <c r="K22" s="14" t="str">
        <f t="shared" si="6"/>
        <v>马鞍山师范高等专科学校</v>
      </c>
      <c r="L22" s="13" t="str">
        <f t="shared" si="2"/>
        <v>专科</v>
      </c>
      <c r="M22" s="19">
        <v>74.75833333333333</v>
      </c>
    </row>
    <row r="23" spans="1:13" s="1" customFormat="1" ht="34.5" customHeight="1">
      <c r="A23" s="13">
        <v>20</v>
      </c>
      <c r="B23" s="13" t="str">
        <f aca="true" t="shared" si="8" ref="B23:B26">"20210107"</f>
        <v>20210107</v>
      </c>
      <c r="C23" s="14" t="s">
        <v>25</v>
      </c>
      <c r="D23" s="15" t="s">
        <v>15</v>
      </c>
      <c r="E23" s="15" t="s">
        <v>16</v>
      </c>
      <c r="F23" s="15" t="s">
        <v>17</v>
      </c>
      <c r="G23" s="15" t="s">
        <v>18</v>
      </c>
      <c r="H23" s="16" t="s">
        <v>19</v>
      </c>
      <c r="I23" s="13" t="str">
        <f>"2101070601"</f>
        <v>2101070601</v>
      </c>
      <c r="J23" s="13" t="str">
        <f>"张淑影"</f>
        <v>张淑影</v>
      </c>
      <c r="K23" s="14" t="str">
        <f>"亳州学院"</f>
        <v>亳州学院</v>
      </c>
      <c r="L23" s="13" t="str">
        <f t="shared" si="2"/>
        <v>专科</v>
      </c>
      <c r="M23" s="19">
        <v>75.39666666666666</v>
      </c>
    </row>
    <row r="24" spans="1:13" s="1" customFormat="1" ht="34.5" customHeight="1">
      <c r="A24" s="13">
        <v>21</v>
      </c>
      <c r="B24" s="13" t="str">
        <f t="shared" si="8"/>
        <v>20210107</v>
      </c>
      <c r="C24" s="14" t="s">
        <v>25</v>
      </c>
      <c r="D24" s="15" t="s">
        <v>15</v>
      </c>
      <c r="E24" s="15" t="s">
        <v>16</v>
      </c>
      <c r="F24" s="15" t="s">
        <v>17</v>
      </c>
      <c r="G24" s="15" t="s">
        <v>18</v>
      </c>
      <c r="H24" s="16" t="s">
        <v>19</v>
      </c>
      <c r="I24" s="13" t="str">
        <f>"2101070603"</f>
        <v>2101070603</v>
      </c>
      <c r="J24" s="13" t="str">
        <f>"张慧慧"</f>
        <v>张慧慧</v>
      </c>
      <c r="K24" s="14" t="str">
        <f>"宿州学院"</f>
        <v>宿州学院</v>
      </c>
      <c r="L24" s="13" t="str">
        <f t="shared" si="2"/>
        <v>专科</v>
      </c>
      <c r="M24" s="19">
        <v>73.32</v>
      </c>
    </row>
    <row r="25" spans="1:13" s="1" customFormat="1" ht="34.5" customHeight="1">
      <c r="A25" s="13">
        <v>22</v>
      </c>
      <c r="B25" s="13" t="str">
        <f t="shared" si="8"/>
        <v>20210107</v>
      </c>
      <c r="C25" s="14" t="s">
        <v>25</v>
      </c>
      <c r="D25" s="15" t="s">
        <v>15</v>
      </c>
      <c r="E25" s="15" t="s">
        <v>16</v>
      </c>
      <c r="F25" s="15" t="s">
        <v>17</v>
      </c>
      <c r="G25" s="15" t="s">
        <v>18</v>
      </c>
      <c r="H25" s="16" t="s">
        <v>19</v>
      </c>
      <c r="I25" s="13" t="str">
        <f>"2101070604"</f>
        <v>2101070604</v>
      </c>
      <c r="J25" s="13" t="str">
        <f>"王雪梅"</f>
        <v>王雪梅</v>
      </c>
      <c r="K25" s="14" t="str">
        <f>"淮北职业技术学院"</f>
        <v>淮北职业技术学院</v>
      </c>
      <c r="L25" s="13" t="str">
        <f aca="true" t="shared" si="9" ref="L23:L31">"专科"</f>
        <v>专科</v>
      </c>
      <c r="M25" s="19">
        <v>72.64166666666668</v>
      </c>
    </row>
    <row r="26" spans="1:13" s="1" customFormat="1" ht="34.5" customHeight="1">
      <c r="A26" s="13">
        <v>23</v>
      </c>
      <c r="B26" s="13" t="str">
        <f t="shared" si="8"/>
        <v>20210107</v>
      </c>
      <c r="C26" s="14" t="s">
        <v>25</v>
      </c>
      <c r="D26" s="15" t="s">
        <v>15</v>
      </c>
      <c r="E26" s="15" t="s">
        <v>16</v>
      </c>
      <c r="F26" s="15" t="s">
        <v>17</v>
      </c>
      <c r="G26" s="15" t="s">
        <v>18</v>
      </c>
      <c r="H26" s="16" t="s">
        <v>19</v>
      </c>
      <c r="I26" s="13" t="str">
        <f>"2101070614"</f>
        <v>2101070614</v>
      </c>
      <c r="J26" s="13" t="str">
        <f>"唐娟"</f>
        <v>唐娟</v>
      </c>
      <c r="K26" s="14" t="str">
        <f>"亳州学院"</f>
        <v>亳州学院</v>
      </c>
      <c r="L26" s="13" t="str">
        <f t="shared" si="9"/>
        <v>专科</v>
      </c>
      <c r="M26" s="19">
        <v>71.21166666666667</v>
      </c>
    </row>
    <row r="27" spans="1:13" s="1" customFormat="1" ht="34.5" customHeight="1">
      <c r="A27" s="13">
        <v>24</v>
      </c>
      <c r="B27" s="13" t="str">
        <f aca="true" t="shared" si="10" ref="B27:B29">"20210108"</f>
        <v>20210108</v>
      </c>
      <c r="C27" s="14" t="s">
        <v>26</v>
      </c>
      <c r="D27" s="15" t="s">
        <v>15</v>
      </c>
      <c r="E27" s="15" t="s">
        <v>16</v>
      </c>
      <c r="F27" s="15" t="s">
        <v>17</v>
      </c>
      <c r="G27" s="15" t="s">
        <v>18</v>
      </c>
      <c r="H27" s="16" t="s">
        <v>19</v>
      </c>
      <c r="I27" s="13" t="str">
        <f>"2101080623"</f>
        <v>2101080623</v>
      </c>
      <c r="J27" s="13" t="str">
        <f>"郝晶晶"</f>
        <v>郝晶晶</v>
      </c>
      <c r="K27" s="14" t="str">
        <f>"宿州学院"</f>
        <v>宿州学院</v>
      </c>
      <c r="L27" s="13" t="str">
        <f t="shared" si="9"/>
        <v>专科</v>
      </c>
      <c r="M27" s="19">
        <v>74.16833333333334</v>
      </c>
    </row>
    <row r="28" spans="1:13" s="1" customFormat="1" ht="34.5" customHeight="1">
      <c r="A28" s="13">
        <v>25</v>
      </c>
      <c r="B28" s="13" t="str">
        <f t="shared" si="10"/>
        <v>20210108</v>
      </c>
      <c r="C28" s="14" t="s">
        <v>26</v>
      </c>
      <c r="D28" s="15" t="s">
        <v>15</v>
      </c>
      <c r="E28" s="15" t="s">
        <v>16</v>
      </c>
      <c r="F28" s="15" t="s">
        <v>17</v>
      </c>
      <c r="G28" s="15" t="s">
        <v>18</v>
      </c>
      <c r="H28" s="16" t="s">
        <v>19</v>
      </c>
      <c r="I28" s="13" t="str">
        <f>"2101080701"</f>
        <v>2101080701</v>
      </c>
      <c r="J28" s="13" t="str">
        <f>"何政君"</f>
        <v>何政君</v>
      </c>
      <c r="K28" s="14" t="str">
        <f>"江苏联和职业技术学院"</f>
        <v>江苏联和职业技术学院</v>
      </c>
      <c r="L28" s="13" t="str">
        <f t="shared" si="9"/>
        <v>专科</v>
      </c>
      <c r="M28" s="19">
        <v>74.16333333333333</v>
      </c>
    </row>
    <row r="29" spans="1:13" s="1" customFormat="1" ht="34.5" customHeight="1">
      <c r="A29" s="13">
        <v>26</v>
      </c>
      <c r="B29" s="13" t="str">
        <f t="shared" si="10"/>
        <v>20210108</v>
      </c>
      <c r="C29" s="14" t="s">
        <v>26</v>
      </c>
      <c r="D29" s="15" t="s">
        <v>15</v>
      </c>
      <c r="E29" s="15" t="s">
        <v>16</v>
      </c>
      <c r="F29" s="15" t="s">
        <v>17</v>
      </c>
      <c r="G29" s="15" t="s">
        <v>18</v>
      </c>
      <c r="H29" s="16" t="s">
        <v>19</v>
      </c>
      <c r="I29" s="13" t="str">
        <f>"2101080622"</f>
        <v>2101080622</v>
      </c>
      <c r="J29" s="13" t="str">
        <f>"苌敏"</f>
        <v>苌敏</v>
      </c>
      <c r="K29" s="14" t="str">
        <f>"淮北职业技术学院"</f>
        <v>淮北职业技术学院</v>
      </c>
      <c r="L29" s="13" t="str">
        <f t="shared" si="9"/>
        <v>专科</v>
      </c>
      <c r="M29" s="19">
        <v>70.51333333333334</v>
      </c>
    </row>
    <row r="30" spans="1:13" s="1" customFormat="1" ht="34.5" customHeight="1">
      <c r="A30" s="13">
        <v>27</v>
      </c>
      <c r="B30" s="13" t="str">
        <f aca="true" t="shared" si="11" ref="B30:B33">"20210109"</f>
        <v>20210109</v>
      </c>
      <c r="C30" s="14" t="s">
        <v>27</v>
      </c>
      <c r="D30" s="15" t="s">
        <v>15</v>
      </c>
      <c r="E30" s="15" t="s">
        <v>16</v>
      </c>
      <c r="F30" s="15" t="s">
        <v>17</v>
      </c>
      <c r="G30" s="15" t="s">
        <v>18</v>
      </c>
      <c r="H30" s="16" t="s">
        <v>19</v>
      </c>
      <c r="I30" s="13" t="str">
        <f>"2101090706"</f>
        <v>2101090706</v>
      </c>
      <c r="J30" s="13" t="str">
        <f>"周梦茹"</f>
        <v>周梦茹</v>
      </c>
      <c r="K30" s="14" t="str">
        <f>"连云港师范高等专科学校"</f>
        <v>连云港师范高等专科学校</v>
      </c>
      <c r="L30" s="13" t="str">
        <f t="shared" si="9"/>
        <v>专科</v>
      </c>
      <c r="M30" s="19">
        <v>80.02833333333334</v>
      </c>
    </row>
    <row r="31" spans="1:13" s="1" customFormat="1" ht="34.5" customHeight="1">
      <c r="A31" s="13">
        <v>28</v>
      </c>
      <c r="B31" s="13" t="str">
        <f t="shared" si="11"/>
        <v>20210109</v>
      </c>
      <c r="C31" s="14" t="s">
        <v>27</v>
      </c>
      <c r="D31" s="15" t="s">
        <v>15</v>
      </c>
      <c r="E31" s="15" t="s">
        <v>16</v>
      </c>
      <c r="F31" s="15" t="s">
        <v>17</v>
      </c>
      <c r="G31" s="15" t="s">
        <v>18</v>
      </c>
      <c r="H31" s="16" t="s">
        <v>19</v>
      </c>
      <c r="I31" s="13" t="str">
        <f>"2101090709"</f>
        <v>2101090709</v>
      </c>
      <c r="J31" s="13" t="str">
        <f>"曹小涵"</f>
        <v>曹小涵</v>
      </c>
      <c r="K31" s="14" t="str">
        <f>"宿州学院"</f>
        <v>宿州学院</v>
      </c>
      <c r="L31" s="13" t="str">
        <f t="shared" si="9"/>
        <v>专科</v>
      </c>
      <c r="M31" s="19">
        <v>78.42666666666666</v>
      </c>
    </row>
    <row r="32" spans="1:13" s="1" customFormat="1" ht="34.5" customHeight="1">
      <c r="A32" s="13">
        <v>29</v>
      </c>
      <c r="B32" s="13" t="str">
        <f t="shared" si="11"/>
        <v>20210109</v>
      </c>
      <c r="C32" s="14" t="s">
        <v>27</v>
      </c>
      <c r="D32" s="15" t="s">
        <v>15</v>
      </c>
      <c r="E32" s="15" t="s">
        <v>16</v>
      </c>
      <c r="F32" s="15" t="s">
        <v>17</v>
      </c>
      <c r="G32" s="15" t="s">
        <v>18</v>
      </c>
      <c r="H32" s="16" t="s">
        <v>19</v>
      </c>
      <c r="I32" s="13" t="str">
        <f>"2101090711"</f>
        <v>2101090711</v>
      </c>
      <c r="J32" s="13" t="str">
        <f>"赵子旋"</f>
        <v>赵子旋</v>
      </c>
      <c r="K32" s="14" t="str">
        <f>"亳州学院"</f>
        <v>亳州学院</v>
      </c>
      <c r="L32" s="13" t="str">
        <f>"本科"</f>
        <v>本科</v>
      </c>
      <c r="M32" s="19">
        <v>76.43</v>
      </c>
    </row>
    <row r="33" spans="1:13" s="1" customFormat="1" ht="34.5" customHeight="1">
      <c r="A33" s="13">
        <v>30</v>
      </c>
      <c r="B33" s="13" t="str">
        <f t="shared" si="11"/>
        <v>20210109</v>
      </c>
      <c r="C33" s="14" t="s">
        <v>27</v>
      </c>
      <c r="D33" s="15" t="s">
        <v>15</v>
      </c>
      <c r="E33" s="15" t="s">
        <v>16</v>
      </c>
      <c r="F33" s="15" t="s">
        <v>17</v>
      </c>
      <c r="G33" s="15" t="s">
        <v>18</v>
      </c>
      <c r="H33" s="16" t="s">
        <v>19</v>
      </c>
      <c r="I33" s="13" t="str">
        <f>"2101090716"</f>
        <v>2101090716</v>
      </c>
      <c r="J33" s="13" t="str">
        <f>"王娟"</f>
        <v>王娟</v>
      </c>
      <c r="K33" s="14" t="str">
        <f>"合肥师范学院"</f>
        <v>合肥师范学院</v>
      </c>
      <c r="L33" s="13" t="str">
        <f aca="true" t="shared" si="12" ref="L33:L44">"专科"</f>
        <v>专科</v>
      </c>
      <c r="M33" s="19">
        <v>75.49833333333333</v>
      </c>
    </row>
    <row r="34" spans="1:13" s="1" customFormat="1" ht="34.5" customHeight="1">
      <c r="A34" s="13">
        <v>31</v>
      </c>
      <c r="B34" s="13" t="str">
        <f>"20210110"</f>
        <v>20210110</v>
      </c>
      <c r="C34" s="14" t="s">
        <v>28</v>
      </c>
      <c r="D34" s="15" t="s">
        <v>15</v>
      </c>
      <c r="E34" s="15" t="s">
        <v>16</v>
      </c>
      <c r="F34" s="15" t="s">
        <v>17</v>
      </c>
      <c r="G34" s="15" t="s">
        <v>18</v>
      </c>
      <c r="H34" s="16" t="s">
        <v>19</v>
      </c>
      <c r="I34" s="13" t="str">
        <f>"2101100801"</f>
        <v>2101100801</v>
      </c>
      <c r="J34" s="13" t="str">
        <f>"周欣雨"</f>
        <v>周欣雨</v>
      </c>
      <c r="K34" s="14" t="str">
        <f>"合肥幼儿师范高等专科学校"</f>
        <v>合肥幼儿师范高等专科学校</v>
      </c>
      <c r="L34" s="13" t="str">
        <f t="shared" si="12"/>
        <v>专科</v>
      </c>
      <c r="M34" s="19">
        <v>76.65</v>
      </c>
    </row>
    <row r="35" spans="1:13" s="1" customFormat="1" ht="34.5" customHeight="1">
      <c r="A35" s="13">
        <v>32</v>
      </c>
      <c r="B35" s="13" t="str">
        <f>"20210110"</f>
        <v>20210110</v>
      </c>
      <c r="C35" s="14" t="s">
        <v>28</v>
      </c>
      <c r="D35" s="15" t="s">
        <v>15</v>
      </c>
      <c r="E35" s="15" t="s">
        <v>16</v>
      </c>
      <c r="F35" s="15" t="s">
        <v>17</v>
      </c>
      <c r="G35" s="15" t="s">
        <v>18</v>
      </c>
      <c r="H35" s="16" t="s">
        <v>19</v>
      </c>
      <c r="I35" s="13" t="str">
        <f>"2101100730"</f>
        <v>2101100730</v>
      </c>
      <c r="J35" s="13" t="str">
        <f>"韩宇"</f>
        <v>韩宇</v>
      </c>
      <c r="K35" s="14" t="str">
        <f>"淮北职业技术学院"</f>
        <v>淮北职业技术学院</v>
      </c>
      <c r="L35" s="13" t="str">
        <f t="shared" si="12"/>
        <v>专科</v>
      </c>
      <c r="M35" s="19">
        <v>70.74166666666667</v>
      </c>
    </row>
    <row r="36" spans="1:13" s="1" customFormat="1" ht="34.5" customHeight="1">
      <c r="A36" s="13">
        <v>33</v>
      </c>
      <c r="B36" s="13" t="str">
        <f aca="true" t="shared" si="13" ref="B36:B38">"20210111"</f>
        <v>20210111</v>
      </c>
      <c r="C36" s="14" t="s">
        <v>29</v>
      </c>
      <c r="D36" s="15" t="s">
        <v>15</v>
      </c>
      <c r="E36" s="15" t="s">
        <v>16</v>
      </c>
      <c r="F36" s="15" t="s">
        <v>17</v>
      </c>
      <c r="G36" s="15" t="s">
        <v>18</v>
      </c>
      <c r="H36" s="16" t="s">
        <v>19</v>
      </c>
      <c r="I36" s="13" t="str">
        <f>"2101110811"</f>
        <v>2101110811</v>
      </c>
      <c r="J36" s="13" t="str">
        <f>"周雨晴"</f>
        <v>周雨晴</v>
      </c>
      <c r="K36" s="14" t="s">
        <v>30</v>
      </c>
      <c r="L36" s="13" t="str">
        <f t="shared" si="12"/>
        <v>专科</v>
      </c>
      <c r="M36" s="19">
        <v>75.485</v>
      </c>
    </row>
    <row r="37" spans="1:13" s="1" customFormat="1" ht="34.5" customHeight="1">
      <c r="A37" s="13">
        <v>34</v>
      </c>
      <c r="B37" s="13" t="str">
        <f t="shared" si="13"/>
        <v>20210111</v>
      </c>
      <c r="C37" s="14" t="s">
        <v>29</v>
      </c>
      <c r="D37" s="15" t="s">
        <v>15</v>
      </c>
      <c r="E37" s="15" t="s">
        <v>16</v>
      </c>
      <c r="F37" s="15" t="s">
        <v>17</v>
      </c>
      <c r="G37" s="15" t="s">
        <v>18</v>
      </c>
      <c r="H37" s="16" t="s">
        <v>19</v>
      </c>
      <c r="I37" s="13" t="str">
        <f>"2101110820"</f>
        <v>2101110820</v>
      </c>
      <c r="J37" s="13" t="str">
        <f>"郭晓璇"</f>
        <v>郭晓璇</v>
      </c>
      <c r="K37" s="14" t="str">
        <f>"亳州学院"</f>
        <v>亳州学院</v>
      </c>
      <c r="L37" s="13" t="str">
        <f t="shared" si="12"/>
        <v>专科</v>
      </c>
      <c r="M37" s="19">
        <v>74.765</v>
      </c>
    </row>
    <row r="38" spans="1:13" s="1" customFormat="1" ht="34.5" customHeight="1">
      <c r="A38" s="13">
        <v>35</v>
      </c>
      <c r="B38" s="13" t="str">
        <f t="shared" si="13"/>
        <v>20210111</v>
      </c>
      <c r="C38" s="14" t="s">
        <v>29</v>
      </c>
      <c r="D38" s="15" t="s">
        <v>15</v>
      </c>
      <c r="E38" s="15" t="s">
        <v>16</v>
      </c>
      <c r="F38" s="15" t="s">
        <v>17</v>
      </c>
      <c r="G38" s="15" t="s">
        <v>18</v>
      </c>
      <c r="H38" s="16" t="s">
        <v>19</v>
      </c>
      <c r="I38" s="13" t="str">
        <f>"2101110816"</f>
        <v>2101110816</v>
      </c>
      <c r="J38" s="13" t="str">
        <f>"桑康娜"</f>
        <v>桑康娜</v>
      </c>
      <c r="K38" s="14" t="str">
        <f>"淮北职业技术学院"</f>
        <v>淮北职业技术学院</v>
      </c>
      <c r="L38" s="13" t="str">
        <f t="shared" si="12"/>
        <v>专科</v>
      </c>
      <c r="M38" s="19">
        <v>72.19</v>
      </c>
    </row>
    <row r="39" spans="1:13" s="1" customFormat="1" ht="34.5" customHeight="1">
      <c r="A39" s="13">
        <v>36</v>
      </c>
      <c r="B39" s="13" t="str">
        <f>"20210112"</f>
        <v>20210112</v>
      </c>
      <c r="C39" s="14" t="s">
        <v>31</v>
      </c>
      <c r="D39" s="15" t="s">
        <v>15</v>
      </c>
      <c r="E39" s="15" t="s">
        <v>16</v>
      </c>
      <c r="F39" s="15" t="s">
        <v>17</v>
      </c>
      <c r="G39" s="15" t="s">
        <v>18</v>
      </c>
      <c r="H39" s="16" t="s">
        <v>19</v>
      </c>
      <c r="I39" s="13" t="str">
        <f>"2101120830"</f>
        <v>2101120830</v>
      </c>
      <c r="J39" s="13" t="str">
        <f>"吴朱晓"</f>
        <v>吴朱晓</v>
      </c>
      <c r="K39" s="14" t="str">
        <f>"宿州学院"</f>
        <v>宿州学院</v>
      </c>
      <c r="L39" s="13" t="str">
        <f t="shared" si="12"/>
        <v>专科</v>
      </c>
      <c r="M39" s="19">
        <v>76.625</v>
      </c>
    </row>
    <row r="40" spans="1:13" s="1" customFormat="1" ht="34.5" customHeight="1">
      <c r="A40" s="13">
        <v>37</v>
      </c>
      <c r="B40" s="13" t="str">
        <f>"20210113"</f>
        <v>20210113</v>
      </c>
      <c r="C40" s="14" t="s">
        <v>32</v>
      </c>
      <c r="D40" s="15" t="s">
        <v>15</v>
      </c>
      <c r="E40" s="15" t="s">
        <v>16</v>
      </c>
      <c r="F40" s="15" t="s">
        <v>17</v>
      </c>
      <c r="G40" s="15" t="s">
        <v>18</v>
      </c>
      <c r="H40" s="16" t="s">
        <v>19</v>
      </c>
      <c r="I40" s="13" t="str">
        <f>"2101130912"</f>
        <v>2101130912</v>
      </c>
      <c r="J40" s="13" t="str">
        <f>"陈磐石"</f>
        <v>陈磐石</v>
      </c>
      <c r="K40" s="14" t="str">
        <f>"淮北职业技术学院"</f>
        <v>淮北职业技术学院</v>
      </c>
      <c r="L40" s="13" t="str">
        <f t="shared" si="12"/>
        <v>专科</v>
      </c>
      <c r="M40" s="19">
        <v>78.11666666666667</v>
      </c>
    </row>
    <row r="41" spans="1:13" s="1" customFormat="1" ht="34.5" customHeight="1">
      <c r="A41" s="13">
        <v>38</v>
      </c>
      <c r="B41" s="13" t="str">
        <f>"20210113"</f>
        <v>20210113</v>
      </c>
      <c r="C41" s="14" t="s">
        <v>32</v>
      </c>
      <c r="D41" s="15" t="s">
        <v>15</v>
      </c>
      <c r="E41" s="15" t="s">
        <v>16</v>
      </c>
      <c r="F41" s="15" t="s">
        <v>17</v>
      </c>
      <c r="G41" s="15" t="s">
        <v>18</v>
      </c>
      <c r="H41" s="16" t="s">
        <v>19</v>
      </c>
      <c r="I41" s="13" t="str">
        <f>"2101130913"</f>
        <v>2101130913</v>
      </c>
      <c r="J41" s="13" t="str">
        <f>"张云敬"</f>
        <v>张云敬</v>
      </c>
      <c r="K41" s="14" t="str">
        <f>"宿州学院"</f>
        <v>宿州学院</v>
      </c>
      <c r="L41" s="13" t="str">
        <f t="shared" si="12"/>
        <v>专科</v>
      </c>
      <c r="M41" s="19">
        <v>70.775</v>
      </c>
    </row>
    <row r="42" spans="1:13" s="1" customFormat="1" ht="34.5" customHeight="1">
      <c r="A42" s="13">
        <v>39</v>
      </c>
      <c r="B42" s="13" t="str">
        <f>"20210114"</f>
        <v>20210114</v>
      </c>
      <c r="C42" s="14" t="s">
        <v>33</v>
      </c>
      <c r="D42" s="15" t="s">
        <v>15</v>
      </c>
      <c r="E42" s="15" t="s">
        <v>16</v>
      </c>
      <c r="F42" s="15" t="s">
        <v>17</v>
      </c>
      <c r="G42" s="15" t="s">
        <v>18</v>
      </c>
      <c r="H42" s="16" t="s">
        <v>19</v>
      </c>
      <c r="I42" s="13" t="str">
        <f>"2101140917"</f>
        <v>2101140917</v>
      </c>
      <c r="J42" s="13" t="str">
        <f>"张云情"</f>
        <v>张云情</v>
      </c>
      <c r="K42" s="14" t="str">
        <f>"盐城幼儿师范高等专科学校"</f>
        <v>盐城幼儿师范高等专科学校</v>
      </c>
      <c r="L42" s="13" t="str">
        <f t="shared" si="12"/>
        <v>专科</v>
      </c>
      <c r="M42" s="19">
        <v>77.86666666666667</v>
      </c>
    </row>
    <row r="43" spans="1:13" s="2" customFormat="1" ht="34.5" customHeight="1">
      <c r="A43" s="13">
        <v>40</v>
      </c>
      <c r="B43" s="13" t="str">
        <f>"20210115"</f>
        <v>20210115</v>
      </c>
      <c r="C43" s="14" t="s">
        <v>34</v>
      </c>
      <c r="D43" s="15" t="s">
        <v>15</v>
      </c>
      <c r="E43" s="15" t="s">
        <v>16</v>
      </c>
      <c r="F43" s="15" t="s">
        <v>17</v>
      </c>
      <c r="G43" s="15" t="s">
        <v>18</v>
      </c>
      <c r="H43" s="15" t="s">
        <v>19</v>
      </c>
      <c r="I43" s="13" t="str">
        <f>"2101150930"</f>
        <v>2101150930</v>
      </c>
      <c r="J43" s="13" t="str">
        <f>"许诺"</f>
        <v>许诺</v>
      </c>
      <c r="K43" s="14" t="s">
        <v>35</v>
      </c>
      <c r="L43" s="13" t="str">
        <f t="shared" si="12"/>
        <v>专科</v>
      </c>
      <c r="M43" s="20">
        <v>74.58</v>
      </c>
    </row>
    <row r="44" spans="1:13" s="1" customFormat="1" ht="34.5" customHeight="1">
      <c r="A44" s="13">
        <v>41</v>
      </c>
      <c r="B44" s="13" t="str">
        <f>"20210115"</f>
        <v>20210115</v>
      </c>
      <c r="C44" s="14" t="s">
        <v>34</v>
      </c>
      <c r="D44" s="15" t="s">
        <v>15</v>
      </c>
      <c r="E44" s="15" t="s">
        <v>16</v>
      </c>
      <c r="F44" s="15" t="s">
        <v>17</v>
      </c>
      <c r="G44" s="15" t="s">
        <v>18</v>
      </c>
      <c r="H44" s="16" t="s">
        <v>19</v>
      </c>
      <c r="I44" s="13" t="str">
        <f>"2101150921"</f>
        <v>2101150921</v>
      </c>
      <c r="J44" s="13" t="str">
        <f>"李如"</f>
        <v>李如</v>
      </c>
      <c r="K44" s="14" t="str">
        <f>"滁州城市职业学校"</f>
        <v>滁州城市职业学校</v>
      </c>
      <c r="L44" s="13" t="str">
        <f aca="true" t="shared" si="14" ref="L42:L47">"专科"</f>
        <v>专科</v>
      </c>
      <c r="M44" s="19">
        <v>74.35666666666667</v>
      </c>
    </row>
    <row r="45" spans="1:13" s="1" customFormat="1" ht="34.5" customHeight="1">
      <c r="A45" s="13">
        <v>42</v>
      </c>
      <c r="B45" s="13" t="str">
        <f aca="true" t="shared" si="15" ref="B45:B47">"20210116"</f>
        <v>20210116</v>
      </c>
      <c r="C45" s="14" t="s">
        <v>29</v>
      </c>
      <c r="D45" s="15" t="s">
        <v>15</v>
      </c>
      <c r="E45" s="15" t="s">
        <v>36</v>
      </c>
      <c r="F45" s="15" t="s">
        <v>17</v>
      </c>
      <c r="G45" s="15" t="s">
        <v>18</v>
      </c>
      <c r="H45" s="14" t="s">
        <v>37</v>
      </c>
      <c r="I45" s="13" t="str">
        <f>"2101161128"</f>
        <v>2101161128</v>
      </c>
      <c r="J45" s="13" t="str">
        <f>"宋佳"</f>
        <v>宋佳</v>
      </c>
      <c r="K45" s="14" t="str">
        <f>"国家开放大学"</f>
        <v>国家开放大学</v>
      </c>
      <c r="L45" s="13" t="str">
        <f>"本科"</f>
        <v>本科</v>
      </c>
      <c r="M45" s="19">
        <v>77.39500000000001</v>
      </c>
    </row>
    <row r="46" spans="1:13" s="1" customFormat="1" ht="34.5" customHeight="1">
      <c r="A46" s="13">
        <v>43</v>
      </c>
      <c r="B46" s="13" t="str">
        <f t="shared" si="15"/>
        <v>20210116</v>
      </c>
      <c r="C46" s="14" t="s">
        <v>29</v>
      </c>
      <c r="D46" s="15" t="s">
        <v>15</v>
      </c>
      <c r="E46" s="15" t="s">
        <v>36</v>
      </c>
      <c r="F46" s="15" t="s">
        <v>17</v>
      </c>
      <c r="G46" s="15" t="s">
        <v>18</v>
      </c>
      <c r="H46" s="14" t="s">
        <v>37</v>
      </c>
      <c r="I46" s="13" t="str">
        <f>"2101161107"</f>
        <v>2101161107</v>
      </c>
      <c r="J46" s="13" t="str">
        <f>"郭海丽"</f>
        <v>郭海丽</v>
      </c>
      <c r="K46" s="14" t="str">
        <f>"阜阳职业技术学院"</f>
        <v>阜阳职业技术学院</v>
      </c>
      <c r="L46" s="13" t="str">
        <f t="shared" si="14"/>
        <v>专科</v>
      </c>
      <c r="M46" s="19">
        <v>76.69166666666666</v>
      </c>
    </row>
    <row r="47" spans="1:13" s="1" customFormat="1" ht="34.5" customHeight="1">
      <c r="A47" s="13">
        <v>44</v>
      </c>
      <c r="B47" s="13" t="str">
        <f t="shared" si="15"/>
        <v>20210116</v>
      </c>
      <c r="C47" s="14" t="s">
        <v>29</v>
      </c>
      <c r="D47" s="15" t="s">
        <v>15</v>
      </c>
      <c r="E47" s="15" t="s">
        <v>36</v>
      </c>
      <c r="F47" s="15" t="s">
        <v>17</v>
      </c>
      <c r="G47" s="15" t="s">
        <v>18</v>
      </c>
      <c r="H47" s="14" t="s">
        <v>37</v>
      </c>
      <c r="I47" s="13" t="str">
        <f>"2101161126"</f>
        <v>2101161126</v>
      </c>
      <c r="J47" s="13" t="str">
        <f>"尹梅"</f>
        <v>尹梅</v>
      </c>
      <c r="K47" s="14" t="str">
        <f>"宿州学院"</f>
        <v>宿州学院</v>
      </c>
      <c r="L47" s="13" t="str">
        <f t="shared" si="14"/>
        <v>专科</v>
      </c>
      <c r="M47" s="19">
        <v>73.805</v>
      </c>
    </row>
    <row r="48" spans="1:13" s="1" customFormat="1" ht="34.5" customHeight="1">
      <c r="A48" s="13">
        <v>45</v>
      </c>
      <c r="B48" s="13" t="str">
        <f aca="true" t="shared" si="16" ref="B48:B50">"20210117"</f>
        <v>20210117</v>
      </c>
      <c r="C48" s="14" t="s">
        <v>38</v>
      </c>
      <c r="D48" s="15" t="s">
        <v>15</v>
      </c>
      <c r="E48" s="15" t="s">
        <v>36</v>
      </c>
      <c r="F48" s="15" t="s">
        <v>17</v>
      </c>
      <c r="G48" s="15" t="s">
        <v>18</v>
      </c>
      <c r="H48" s="14" t="s">
        <v>37</v>
      </c>
      <c r="I48" s="13" t="str">
        <f>"2101171309"</f>
        <v>2101171309</v>
      </c>
      <c r="J48" s="13" t="str">
        <f>"朱雨晴"</f>
        <v>朱雨晴</v>
      </c>
      <c r="K48" s="14" t="str">
        <f>"安徽省宿州逸夫师范学校"</f>
        <v>安徽省宿州逸夫师范学校</v>
      </c>
      <c r="L48" s="13" t="str">
        <f>"中专"</f>
        <v>中专</v>
      </c>
      <c r="M48" s="19">
        <v>77.95833333333334</v>
      </c>
    </row>
    <row r="49" spans="1:13" s="1" customFormat="1" ht="34.5" customHeight="1">
      <c r="A49" s="13">
        <v>46</v>
      </c>
      <c r="B49" s="13" t="str">
        <f t="shared" si="16"/>
        <v>20210117</v>
      </c>
      <c r="C49" s="14" t="s">
        <v>38</v>
      </c>
      <c r="D49" s="15" t="s">
        <v>15</v>
      </c>
      <c r="E49" s="15" t="s">
        <v>36</v>
      </c>
      <c r="F49" s="15" t="s">
        <v>17</v>
      </c>
      <c r="G49" s="15" t="s">
        <v>18</v>
      </c>
      <c r="H49" s="14" t="s">
        <v>37</v>
      </c>
      <c r="I49" s="13" t="str">
        <f>"2101171308"</f>
        <v>2101171308</v>
      </c>
      <c r="J49" s="13" t="str">
        <f>"彭宇"</f>
        <v>彭宇</v>
      </c>
      <c r="K49" s="14" t="str">
        <f>"合肥师范学院"</f>
        <v>合肥师范学院</v>
      </c>
      <c r="L49" s="13" t="str">
        <f aca="true" t="shared" si="17" ref="L49:L51">"专科"</f>
        <v>专科</v>
      </c>
      <c r="M49" s="19">
        <v>73.30000000000001</v>
      </c>
    </row>
    <row r="50" spans="1:13" s="1" customFormat="1" ht="34.5" customHeight="1">
      <c r="A50" s="13">
        <v>47</v>
      </c>
      <c r="B50" s="13" t="str">
        <f t="shared" si="16"/>
        <v>20210117</v>
      </c>
      <c r="C50" s="14" t="s">
        <v>38</v>
      </c>
      <c r="D50" s="15" t="s">
        <v>15</v>
      </c>
      <c r="E50" s="15" t="s">
        <v>36</v>
      </c>
      <c r="F50" s="15" t="s">
        <v>17</v>
      </c>
      <c r="G50" s="15" t="s">
        <v>18</v>
      </c>
      <c r="H50" s="14" t="s">
        <v>37</v>
      </c>
      <c r="I50" s="13" t="str">
        <f>"2101171304"</f>
        <v>2101171304</v>
      </c>
      <c r="J50" s="13" t="str">
        <f>"张君萌"</f>
        <v>张君萌</v>
      </c>
      <c r="K50" s="14" t="str">
        <f>"中央广播电视大学"</f>
        <v>中央广播电视大学</v>
      </c>
      <c r="L50" s="13" t="str">
        <f t="shared" si="17"/>
        <v>专科</v>
      </c>
      <c r="M50" s="19">
        <v>72.75833333333333</v>
      </c>
    </row>
    <row r="51" spans="1:13" s="1" customFormat="1" ht="34.5" customHeight="1">
      <c r="A51" s="13">
        <v>48</v>
      </c>
      <c r="B51" s="13" t="str">
        <f>"20210118"</f>
        <v>20210118</v>
      </c>
      <c r="C51" s="14" t="s">
        <v>39</v>
      </c>
      <c r="D51" s="15" t="s">
        <v>15</v>
      </c>
      <c r="E51" s="15" t="s">
        <v>36</v>
      </c>
      <c r="F51" s="15" t="s">
        <v>17</v>
      </c>
      <c r="G51" s="15" t="s">
        <v>18</v>
      </c>
      <c r="H51" s="14" t="s">
        <v>37</v>
      </c>
      <c r="I51" s="13" t="str">
        <f>"2101181506"</f>
        <v>2101181506</v>
      </c>
      <c r="J51" s="13" t="str">
        <f>"刘琼琼"</f>
        <v>刘琼琼</v>
      </c>
      <c r="K51" s="14" t="str">
        <f>"宿州学院"</f>
        <v>宿州学院</v>
      </c>
      <c r="L51" s="13" t="str">
        <f t="shared" si="17"/>
        <v>专科</v>
      </c>
      <c r="M51" s="19">
        <v>73.63333333333333</v>
      </c>
    </row>
    <row r="52" spans="1:13" s="1" customFormat="1" ht="34.5" customHeight="1">
      <c r="A52" s="13">
        <v>49</v>
      </c>
      <c r="B52" s="13" t="str">
        <f>"20210118"</f>
        <v>20210118</v>
      </c>
      <c r="C52" s="14" t="s">
        <v>39</v>
      </c>
      <c r="D52" s="15" t="s">
        <v>15</v>
      </c>
      <c r="E52" s="15" t="s">
        <v>36</v>
      </c>
      <c r="F52" s="15" t="s">
        <v>17</v>
      </c>
      <c r="G52" s="15" t="s">
        <v>18</v>
      </c>
      <c r="H52" s="14" t="s">
        <v>37</v>
      </c>
      <c r="I52" s="13" t="str">
        <f>"2101181417"</f>
        <v>2101181417</v>
      </c>
      <c r="J52" s="13" t="str">
        <f>"尹兴翠"</f>
        <v>尹兴翠</v>
      </c>
      <c r="K52" s="14" t="str">
        <f>"安徽师范大学"</f>
        <v>安徽师范大学</v>
      </c>
      <c r="L52" s="13" t="str">
        <f aca="true" t="shared" si="18" ref="L52:L57">"本科"</f>
        <v>本科</v>
      </c>
      <c r="M52" s="19">
        <v>72.63333333333333</v>
      </c>
    </row>
    <row r="53" spans="1:13" s="1" customFormat="1" ht="34.5" customHeight="1">
      <c r="A53" s="13">
        <v>50</v>
      </c>
      <c r="B53" s="13" t="str">
        <f aca="true" t="shared" si="19" ref="B53:B56">"20210119"</f>
        <v>20210119</v>
      </c>
      <c r="C53" s="14" t="s">
        <v>40</v>
      </c>
      <c r="D53" s="15" t="s">
        <v>15</v>
      </c>
      <c r="E53" s="15" t="s">
        <v>36</v>
      </c>
      <c r="F53" s="15" t="s">
        <v>17</v>
      </c>
      <c r="G53" s="15" t="s">
        <v>18</v>
      </c>
      <c r="H53" s="14" t="s">
        <v>37</v>
      </c>
      <c r="I53" s="13" t="str">
        <f>"2101191727"</f>
        <v>2101191727</v>
      </c>
      <c r="J53" s="13" t="str">
        <f>"高欢欢"</f>
        <v>高欢欢</v>
      </c>
      <c r="K53" s="14" t="s">
        <v>41</v>
      </c>
      <c r="L53" s="13" t="str">
        <f aca="true" t="shared" si="20" ref="L53:L56">"专科"</f>
        <v>专科</v>
      </c>
      <c r="M53" s="19">
        <v>77.425</v>
      </c>
    </row>
    <row r="54" spans="1:13" s="1" customFormat="1" ht="34.5" customHeight="1">
      <c r="A54" s="13">
        <v>51</v>
      </c>
      <c r="B54" s="13" t="str">
        <f t="shared" si="19"/>
        <v>20210119</v>
      </c>
      <c r="C54" s="14" t="s">
        <v>40</v>
      </c>
      <c r="D54" s="15" t="s">
        <v>15</v>
      </c>
      <c r="E54" s="15" t="s">
        <v>36</v>
      </c>
      <c r="F54" s="15" t="s">
        <v>17</v>
      </c>
      <c r="G54" s="15" t="s">
        <v>18</v>
      </c>
      <c r="H54" s="14" t="s">
        <v>37</v>
      </c>
      <c r="I54" s="13" t="str">
        <f>"2101191719"</f>
        <v>2101191719</v>
      </c>
      <c r="J54" s="13" t="str">
        <f>"李桥妹"</f>
        <v>李桥妹</v>
      </c>
      <c r="K54" s="14" t="str">
        <f>"安徽师范大学"</f>
        <v>安徽师范大学</v>
      </c>
      <c r="L54" s="13" t="str">
        <f t="shared" si="18"/>
        <v>本科</v>
      </c>
      <c r="M54" s="19">
        <v>77.40666666666667</v>
      </c>
    </row>
    <row r="55" spans="1:13" s="1" customFormat="1" ht="34.5" customHeight="1">
      <c r="A55" s="13">
        <v>52</v>
      </c>
      <c r="B55" s="13" t="str">
        <f t="shared" si="19"/>
        <v>20210119</v>
      </c>
      <c r="C55" s="14" t="s">
        <v>40</v>
      </c>
      <c r="D55" s="15" t="s">
        <v>15</v>
      </c>
      <c r="E55" s="15" t="s">
        <v>36</v>
      </c>
      <c r="F55" s="15" t="s">
        <v>17</v>
      </c>
      <c r="G55" s="15" t="s">
        <v>18</v>
      </c>
      <c r="H55" s="14" t="s">
        <v>37</v>
      </c>
      <c r="I55" s="13" t="str">
        <f>"2101191612"</f>
        <v>2101191612</v>
      </c>
      <c r="J55" s="13" t="str">
        <f>"张紫薇"</f>
        <v>张紫薇</v>
      </c>
      <c r="K55" s="14" t="str">
        <f>"合肥师范学院"</f>
        <v>合肥师范学院</v>
      </c>
      <c r="L55" s="13" t="str">
        <f t="shared" si="20"/>
        <v>专科</v>
      </c>
      <c r="M55" s="19">
        <v>76.63833333333334</v>
      </c>
    </row>
    <row r="56" spans="1:13" s="1" customFormat="1" ht="34.5" customHeight="1">
      <c r="A56" s="13">
        <v>53</v>
      </c>
      <c r="B56" s="13" t="str">
        <f t="shared" si="19"/>
        <v>20210119</v>
      </c>
      <c r="C56" s="14" t="s">
        <v>40</v>
      </c>
      <c r="D56" s="15" t="s">
        <v>15</v>
      </c>
      <c r="E56" s="15" t="s">
        <v>36</v>
      </c>
      <c r="F56" s="15" t="s">
        <v>17</v>
      </c>
      <c r="G56" s="15" t="s">
        <v>18</v>
      </c>
      <c r="H56" s="14" t="s">
        <v>37</v>
      </c>
      <c r="I56" s="13" t="str">
        <f>"2101191627"</f>
        <v>2101191627</v>
      </c>
      <c r="J56" s="13" t="str">
        <f>"靳秀玉"</f>
        <v>靳秀玉</v>
      </c>
      <c r="K56" s="14" t="str">
        <f>"宿州学院"</f>
        <v>宿州学院</v>
      </c>
      <c r="L56" s="13" t="str">
        <f t="shared" si="20"/>
        <v>专科</v>
      </c>
      <c r="M56" s="19">
        <v>76.41666666666667</v>
      </c>
    </row>
    <row r="57" spans="1:13" s="1" customFormat="1" ht="34.5" customHeight="1">
      <c r="A57" s="13">
        <v>54</v>
      </c>
      <c r="B57" s="13" t="str">
        <f aca="true" t="shared" si="21" ref="B57:B62">"20210120"</f>
        <v>20210120</v>
      </c>
      <c r="C57" s="14" t="s">
        <v>42</v>
      </c>
      <c r="D57" s="15" t="s">
        <v>15</v>
      </c>
      <c r="E57" s="15" t="s">
        <v>36</v>
      </c>
      <c r="F57" s="15" t="s">
        <v>17</v>
      </c>
      <c r="G57" s="15" t="s">
        <v>18</v>
      </c>
      <c r="H57" s="14" t="s">
        <v>37</v>
      </c>
      <c r="I57" s="13" t="str">
        <f>"2101201916"</f>
        <v>2101201916</v>
      </c>
      <c r="J57" s="13" t="str">
        <f>"朱家利"</f>
        <v>朱家利</v>
      </c>
      <c r="K57" s="14" t="str">
        <f>"国家开放大学"</f>
        <v>国家开放大学</v>
      </c>
      <c r="L57" s="13" t="str">
        <f t="shared" si="18"/>
        <v>本科</v>
      </c>
      <c r="M57" s="19">
        <v>77.32</v>
      </c>
    </row>
    <row r="58" spans="1:13" s="1" customFormat="1" ht="34.5" customHeight="1">
      <c r="A58" s="13">
        <v>55</v>
      </c>
      <c r="B58" s="13" t="str">
        <f t="shared" si="21"/>
        <v>20210120</v>
      </c>
      <c r="C58" s="14" t="s">
        <v>42</v>
      </c>
      <c r="D58" s="15" t="s">
        <v>15</v>
      </c>
      <c r="E58" s="15" t="s">
        <v>36</v>
      </c>
      <c r="F58" s="15" t="s">
        <v>17</v>
      </c>
      <c r="G58" s="15" t="s">
        <v>18</v>
      </c>
      <c r="H58" s="14" t="s">
        <v>37</v>
      </c>
      <c r="I58" s="13" t="str">
        <f>"2101201928"</f>
        <v>2101201928</v>
      </c>
      <c r="J58" s="13" t="str">
        <f>"卢亚利"</f>
        <v>卢亚利</v>
      </c>
      <c r="K58" s="14" t="str">
        <f>"宿州学院"</f>
        <v>宿州学院</v>
      </c>
      <c r="L58" s="13" t="str">
        <f aca="true" t="shared" si="22" ref="L58:L60">"专科"</f>
        <v>专科</v>
      </c>
      <c r="M58" s="19">
        <v>76.75833333333333</v>
      </c>
    </row>
    <row r="59" spans="1:13" s="1" customFormat="1" ht="34.5" customHeight="1">
      <c r="A59" s="13">
        <v>56</v>
      </c>
      <c r="B59" s="13" t="str">
        <f t="shared" si="21"/>
        <v>20210120</v>
      </c>
      <c r="C59" s="14" t="s">
        <v>42</v>
      </c>
      <c r="D59" s="15" t="s">
        <v>15</v>
      </c>
      <c r="E59" s="15" t="s">
        <v>36</v>
      </c>
      <c r="F59" s="15" t="s">
        <v>17</v>
      </c>
      <c r="G59" s="15" t="s">
        <v>18</v>
      </c>
      <c r="H59" s="14" t="s">
        <v>37</v>
      </c>
      <c r="I59" s="13" t="str">
        <f>"2101201912"</f>
        <v>2101201912</v>
      </c>
      <c r="J59" s="13" t="str">
        <f>"曹娟"</f>
        <v>曹娟</v>
      </c>
      <c r="K59" s="14" t="str">
        <f>"国家开放大学"</f>
        <v>国家开放大学</v>
      </c>
      <c r="L59" s="13" t="str">
        <f t="shared" si="22"/>
        <v>专科</v>
      </c>
      <c r="M59" s="19">
        <v>76.675</v>
      </c>
    </row>
    <row r="60" spans="1:13" s="1" customFormat="1" ht="34.5" customHeight="1">
      <c r="A60" s="13">
        <v>57</v>
      </c>
      <c r="B60" s="13" t="str">
        <f t="shared" si="21"/>
        <v>20210120</v>
      </c>
      <c r="C60" s="14" t="s">
        <v>42</v>
      </c>
      <c r="D60" s="15" t="s">
        <v>15</v>
      </c>
      <c r="E60" s="15" t="s">
        <v>36</v>
      </c>
      <c r="F60" s="15" t="s">
        <v>17</v>
      </c>
      <c r="G60" s="15" t="s">
        <v>18</v>
      </c>
      <c r="H60" s="14" t="s">
        <v>37</v>
      </c>
      <c r="I60" s="13" t="str">
        <f>"2101202101"</f>
        <v>2101202101</v>
      </c>
      <c r="J60" s="13" t="str">
        <f>"曹迎娣"</f>
        <v>曹迎娣</v>
      </c>
      <c r="K60" s="14" t="str">
        <f>"安徽审计职业学院"</f>
        <v>安徽审计职业学院</v>
      </c>
      <c r="L60" s="13" t="str">
        <f t="shared" si="22"/>
        <v>专科</v>
      </c>
      <c r="M60" s="19">
        <v>76.60666666666665</v>
      </c>
    </row>
    <row r="61" spans="1:13" s="1" customFormat="1" ht="34.5" customHeight="1">
      <c r="A61" s="13">
        <v>58</v>
      </c>
      <c r="B61" s="13" t="str">
        <f t="shared" si="21"/>
        <v>20210120</v>
      </c>
      <c r="C61" s="14" t="s">
        <v>42</v>
      </c>
      <c r="D61" s="15" t="s">
        <v>15</v>
      </c>
      <c r="E61" s="15" t="s">
        <v>36</v>
      </c>
      <c r="F61" s="15" t="s">
        <v>17</v>
      </c>
      <c r="G61" s="15" t="s">
        <v>18</v>
      </c>
      <c r="H61" s="14" t="s">
        <v>37</v>
      </c>
      <c r="I61" s="13" t="str">
        <f>"2101201929"</f>
        <v>2101201929</v>
      </c>
      <c r="J61" s="13" t="str">
        <f>"许冰曼"</f>
        <v>许冰曼</v>
      </c>
      <c r="K61" s="14" t="str">
        <f>"江苏师范大学"</f>
        <v>江苏师范大学</v>
      </c>
      <c r="L61" s="13" t="str">
        <f>"本科"</f>
        <v>本科</v>
      </c>
      <c r="M61" s="19">
        <v>75.70833333333334</v>
      </c>
    </row>
    <row r="62" spans="1:13" s="1" customFormat="1" ht="34.5" customHeight="1">
      <c r="A62" s="13">
        <v>59</v>
      </c>
      <c r="B62" s="13" t="str">
        <f t="shared" si="21"/>
        <v>20210120</v>
      </c>
      <c r="C62" s="14" t="s">
        <v>42</v>
      </c>
      <c r="D62" s="15" t="s">
        <v>15</v>
      </c>
      <c r="E62" s="15" t="s">
        <v>36</v>
      </c>
      <c r="F62" s="15" t="s">
        <v>17</v>
      </c>
      <c r="G62" s="15" t="s">
        <v>18</v>
      </c>
      <c r="H62" s="14" t="s">
        <v>37</v>
      </c>
      <c r="I62" s="13" t="str">
        <f>"2101202016"</f>
        <v>2101202016</v>
      </c>
      <c r="J62" s="13" t="str">
        <f>"刘素玲"</f>
        <v>刘素玲</v>
      </c>
      <c r="K62" s="14" t="str">
        <f>"淮南师范学院"</f>
        <v>淮南师范学院</v>
      </c>
      <c r="L62" s="13" t="str">
        <f>"专科"</f>
        <v>专科</v>
      </c>
      <c r="M62" s="19">
        <v>75.48833333333334</v>
      </c>
    </row>
    <row r="63" s="3" customFormat="1" ht="23.25" customHeight="1"/>
    <row r="64" s="3" customFormat="1" ht="23.25" customHeight="1"/>
    <row r="65" s="3" customFormat="1" ht="23.25" customHeight="1"/>
    <row r="66" s="4" customFormat="1" ht="23.25" customHeight="1"/>
    <row r="67" s="3" customFormat="1" ht="23.25" customHeight="1"/>
    <row r="68" s="3" customFormat="1" ht="23.25" customHeight="1"/>
    <row r="69" s="3" customFormat="1" ht="23.25" customHeight="1"/>
    <row r="70" s="3" customFormat="1" ht="23.25" customHeight="1"/>
    <row r="71" s="3" customFormat="1" ht="23.25" customHeight="1"/>
    <row r="72" s="3" customFormat="1" ht="23.25" customHeight="1"/>
    <row r="73" s="3" customFormat="1" ht="23.25" customHeight="1"/>
    <row r="74" s="3" customFormat="1" ht="23.25" customHeight="1"/>
    <row r="75" s="3" customFormat="1" ht="23.25" customHeight="1"/>
    <row r="76" s="3" customFormat="1" ht="23.25" customHeight="1"/>
    <row r="77" s="3" customFormat="1" ht="23.25" customHeight="1"/>
    <row r="78" s="3" customFormat="1" ht="23.25" customHeight="1"/>
    <row r="79" s="3" customFormat="1" ht="23.25" customHeight="1"/>
    <row r="80" s="3" customFormat="1" ht="23.25" customHeight="1"/>
    <row r="81" s="4" customFormat="1" ht="23.25" customHeight="1"/>
    <row r="82" s="3" customFormat="1" ht="23.25" customHeight="1"/>
    <row r="83" s="3" customFormat="1" ht="23.25" customHeight="1"/>
    <row r="84" s="3" customFormat="1" ht="23.25" customHeight="1"/>
    <row r="85" s="3" customFormat="1" ht="23.25" customHeight="1"/>
    <row r="86" s="3" customFormat="1" ht="23.25" customHeight="1"/>
    <row r="87" s="3" customFormat="1" ht="22.5" customHeight="1"/>
    <row r="88" s="3" customFormat="1" ht="22.5" customHeight="1"/>
    <row r="89" s="3" customFormat="1" ht="22.5" customHeight="1"/>
    <row r="90" s="5" customFormat="1" ht="22.5" customHeight="1"/>
    <row r="91" s="5" customFormat="1" ht="22.5" customHeight="1"/>
    <row r="92" s="5" customFormat="1" ht="22.5" customHeight="1"/>
    <row r="93" s="5" customFormat="1" ht="22.5" customHeight="1"/>
    <row r="94" s="5" customFormat="1" ht="22.5" customHeight="1"/>
    <row r="95" s="5" customFormat="1" ht="22.5" customHeight="1"/>
    <row r="96" s="5" customFormat="1" ht="22.5" customHeight="1"/>
    <row r="97" s="5" customFormat="1" ht="22.5" customHeight="1"/>
    <row r="98" s="5" customFormat="1" ht="22.5" customHeight="1"/>
    <row r="99" s="5" customFormat="1" ht="22.5" customHeight="1"/>
    <row r="100" s="5" customFormat="1" ht="22.5" customHeight="1"/>
    <row r="101" s="5" customFormat="1" ht="22.5" customHeight="1"/>
    <row r="102" s="5" customFormat="1" ht="22.5" customHeight="1"/>
  </sheetData>
  <sheetProtection/>
  <mergeCells count="10">
    <mergeCell ref="A1:M1"/>
    <mergeCell ref="D2:H2"/>
    <mergeCell ref="A2:A3"/>
    <mergeCell ref="B2:B3"/>
    <mergeCell ref="C2:C3"/>
    <mergeCell ref="I2:I3"/>
    <mergeCell ref="J2:J3"/>
    <mergeCell ref="K2:K3"/>
    <mergeCell ref="L2:L3"/>
    <mergeCell ref="M2:M3"/>
  </mergeCells>
  <printOptions/>
  <pageMargins left="0.5548611111111111" right="0.5506944444444445" top="0.5902777777777778" bottom="0.5902777777777778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2016-09-22T00:54:48Z</cp:lastPrinted>
  <dcterms:created xsi:type="dcterms:W3CDTF">2013-09-26T07:59:01Z</dcterms:created>
  <dcterms:modified xsi:type="dcterms:W3CDTF">2021-09-08T08:54:58Z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588C7A30F72C4008B50FBE09E5D34E1A</vt:lpwstr>
  </property>
</Properties>
</file>